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00" windowHeight="10695"/>
  </bookViews>
  <sheets>
    <sheet name="Sheet1" sheetId="1" r:id="rId1"/>
  </sheets>
  <definedNames>
    <definedName name="CUR_I_Report">Sheet1!#REF!</definedName>
    <definedName name="PRJ_Step">Sheet1!$D$15</definedName>
  </definedNames>
  <calcPr calcId="145621"/>
</workbook>
</file>

<file path=xl/calcChain.xml><?xml version="1.0" encoding="utf-8"?>
<calcChain xmlns="http://schemas.openxmlformats.org/spreadsheetml/2006/main">
  <c r="O41" i="1" l="1"/>
  <c r="P41" i="1"/>
  <c r="Q41" i="1"/>
  <c r="R41" i="1"/>
  <c r="S41" i="1"/>
  <c r="T41" i="1"/>
  <c r="U41" i="1"/>
  <c r="V41" i="1"/>
  <c r="W41" i="1"/>
  <c r="N41" i="1"/>
  <c r="N39" i="1"/>
  <c r="L50" i="1" l="1"/>
  <c r="L46" i="1"/>
  <c r="L44" i="1" s="1"/>
  <c r="L45" i="1"/>
  <c r="W39" i="1"/>
  <c r="L56" i="1" l="1"/>
  <c r="L55" i="1"/>
  <c r="L54" i="1"/>
  <c r="L53" i="1"/>
  <c r="L52" i="1"/>
  <c r="L51" i="1"/>
  <c r="L78" i="1" l="1"/>
  <c r="N40" i="1"/>
  <c r="T39" i="1"/>
  <c r="U39" i="1"/>
  <c r="V39" i="1"/>
  <c r="S39" i="1"/>
  <c r="O39" i="1"/>
  <c r="O40" i="1" s="1"/>
  <c r="P39" i="1"/>
  <c r="Q39" i="1"/>
  <c r="R39" i="1"/>
  <c r="P40" i="1" l="1"/>
  <c r="L47" i="1"/>
  <c r="B16" i="1" s="1"/>
  <c r="Q40" i="1" l="1"/>
  <c r="B35" i="1"/>
  <c r="L72" i="1"/>
  <c r="B15" i="1" s="1"/>
  <c r="I44" i="1"/>
  <c r="J44" i="1"/>
  <c r="K44" i="1"/>
  <c r="B60" i="1"/>
  <c r="R40" i="1" l="1"/>
  <c r="B50" i="1"/>
  <c r="B33" i="1"/>
  <c r="B36" i="1" s="1"/>
  <c r="B57" i="1" l="1"/>
  <c r="B59" i="1" s="1"/>
  <c r="B61" i="1" s="1"/>
  <c r="B63" i="1" s="1"/>
  <c r="S40" i="1"/>
  <c r="B68" i="1"/>
  <c r="B74" i="1" s="1"/>
  <c r="B77" i="1" s="1"/>
  <c r="C60" i="1"/>
  <c r="C68" i="1" s="1"/>
  <c r="C74" i="1" s="1"/>
  <c r="D60" i="1"/>
  <c r="E60" i="1"/>
  <c r="E68" i="1" s="1"/>
  <c r="E74" i="1" s="1"/>
  <c r="F60" i="1"/>
  <c r="F68" i="1" s="1"/>
  <c r="F74" i="1" s="1"/>
  <c r="G60" i="1"/>
  <c r="G68" i="1" s="1"/>
  <c r="G74" i="1" s="1"/>
  <c r="H60" i="1"/>
  <c r="H68" i="1" s="1"/>
  <c r="H74" i="1" s="1"/>
  <c r="I60" i="1"/>
  <c r="I68" i="1" s="1"/>
  <c r="I74" i="1" s="1"/>
  <c r="J60" i="1"/>
  <c r="K60" i="1"/>
  <c r="L60" i="1"/>
  <c r="L68" i="1" s="1"/>
  <c r="C50" i="1"/>
  <c r="D50" i="1"/>
  <c r="E50" i="1"/>
  <c r="F50" i="1"/>
  <c r="G50" i="1"/>
  <c r="H50" i="1"/>
  <c r="I50" i="1"/>
  <c r="J50" i="1"/>
  <c r="K50" i="1"/>
  <c r="D68" i="1"/>
  <c r="D74" i="1" s="1"/>
  <c r="J68" i="1"/>
  <c r="J74" i="1" s="1"/>
  <c r="K68" i="1"/>
  <c r="K74" i="1" s="1"/>
  <c r="C77" i="1" l="1"/>
  <c r="D77" i="1" s="1"/>
  <c r="E77" i="1" s="1"/>
  <c r="F77" i="1" s="1"/>
  <c r="G77" i="1" s="1"/>
  <c r="H77" i="1" s="1"/>
  <c r="I77" i="1" s="1"/>
  <c r="J77" i="1" s="1"/>
  <c r="K77" i="1" s="1"/>
  <c r="L57" i="1"/>
  <c r="L59" i="1" s="1"/>
  <c r="L61" i="1" s="1"/>
  <c r="L63" i="1" s="1"/>
  <c r="H57" i="1"/>
  <c r="H59" i="1" s="1"/>
  <c r="H61" i="1" s="1"/>
  <c r="H63" i="1" s="1"/>
  <c r="D57" i="1"/>
  <c r="D59" i="1" s="1"/>
  <c r="D61" i="1" s="1"/>
  <c r="D63" i="1" s="1"/>
  <c r="C57" i="1"/>
  <c r="C59" i="1" s="1"/>
  <c r="C61" i="1" s="1"/>
  <c r="C63" i="1" s="1"/>
  <c r="K57" i="1"/>
  <c r="K59" i="1" s="1"/>
  <c r="K61" i="1" s="1"/>
  <c r="K63" i="1" s="1"/>
  <c r="G57" i="1"/>
  <c r="G59" i="1" s="1"/>
  <c r="G61" i="1" s="1"/>
  <c r="G63" i="1" s="1"/>
  <c r="J57" i="1"/>
  <c r="J59" i="1" s="1"/>
  <c r="J61" i="1" s="1"/>
  <c r="J63" i="1" s="1"/>
  <c r="F57" i="1"/>
  <c r="F59" i="1" s="1"/>
  <c r="F61" i="1" s="1"/>
  <c r="F63" i="1" s="1"/>
  <c r="I57" i="1"/>
  <c r="I59" i="1" s="1"/>
  <c r="I61" i="1" s="1"/>
  <c r="I63" i="1" s="1"/>
  <c r="E57" i="1"/>
  <c r="E59" i="1" s="1"/>
  <c r="E61" i="1" s="1"/>
  <c r="E63" i="1" s="1"/>
  <c r="T40" i="1"/>
  <c r="B78" i="1"/>
  <c r="B75" i="1"/>
  <c r="C75" i="1" s="1"/>
  <c r="D75" i="1" s="1"/>
  <c r="E75" i="1" s="1"/>
  <c r="F75" i="1" s="1"/>
  <c r="G75" i="1" s="1"/>
  <c r="H75" i="1" s="1"/>
  <c r="I75" i="1" s="1"/>
  <c r="J75" i="1" s="1"/>
  <c r="K75" i="1" s="1"/>
  <c r="L74" i="1"/>
  <c r="L75" i="1" s="1"/>
  <c r="U40" i="1" l="1"/>
  <c r="D78" i="1"/>
  <c r="C78" i="1"/>
  <c r="E78" i="1"/>
  <c r="V40" i="1" l="1"/>
  <c r="F78" i="1"/>
  <c r="W40" i="1" l="1"/>
  <c r="G78" i="1"/>
  <c r="H78" i="1" l="1"/>
  <c r="I78" i="1" l="1"/>
  <c r="K78" i="1" l="1"/>
  <c r="J78" i="1"/>
</calcChain>
</file>

<file path=xl/sharedStrings.xml><?xml version="1.0" encoding="utf-8"?>
<sst xmlns="http://schemas.openxmlformats.org/spreadsheetml/2006/main" count="83" uniqueCount="74">
  <si>
    <t>Утверждаю</t>
  </si>
  <si>
    <t>руководитель организации</t>
  </si>
  <si>
    <t>М.П.</t>
  </si>
  <si>
    <t>Исходные данные</t>
  </si>
  <si>
    <t>Значение</t>
  </si>
  <si>
    <t>Срок амортизации, лет</t>
  </si>
  <si>
    <t>Кол-во объектов, ед.</t>
  </si>
  <si>
    <t>Первый ремонт объекта, лет после постройки</t>
  </si>
  <si>
    <t>Периодичность ремонта объекта, лет</t>
  </si>
  <si>
    <t>Прочие расходы при эксплуатации объекта, руб. без НДС</t>
  </si>
  <si>
    <t>Периодичность расходов, лет</t>
  </si>
  <si>
    <t>Налог на прибыль</t>
  </si>
  <si>
    <t>Рабочий капитал в % от выручки</t>
  </si>
  <si>
    <t>Срок кредита</t>
  </si>
  <si>
    <t>Ставка по кредиту</t>
  </si>
  <si>
    <t>Ставка по кредиту без учета субсидирования</t>
  </si>
  <si>
    <t>Доля заемных средств</t>
  </si>
  <si>
    <t>Ставка дисконтирования на собственный капитал</t>
  </si>
  <si>
    <t>Доля собственных средств</t>
  </si>
  <si>
    <t>Средневзвешенная стоимость капитала (WACC)</t>
  </si>
  <si>
    <t>Период</t>
  </si>
  <si>
    <t>Основной долг на начало периода</t>
  </si>
  <si>
    <t>Поступление кредита</t>
  </si>
  <si>
    <t>Погашение основного долга</t>
  </si>
  <si>
    <t>Начисление процентов</t>
  </si>
  <si>
    <t>Операционные расходы</t>
  </si>
  <si>
    <t>Налог на имущество (После ввода объекта в эксплуатацию)</t>
  </si>
  <si>
    <t>Прибыль до вычета расходов по уплате налогов, процентов, и начисленной амортизации (EBITDA)</t>
  </si>
  <si>
    <t>Амортизация</t>
  </si>
  <si>
    <t>Прибыль до вычета расходов по уплате налогов и процентов (EBIT)</t>
  </si>
  <si>
    <t>Проценты</t>
  </si>
  <si>
    <t>Прибыль до налогообложения</t>
  </si>
  <si>
    <t>Чистая прибыль</t>
  </si>
  <si>
    <t>Прибыль до вычета расходов по уплате налогов н процентов (EBIT)</t>
  </si>
  <si>
    <t>НДС</t>
  </si>
  <si>
    <t>Изменения в рабочем капитале</t>
  </si>
  <si>
    <t>Инвестиции</t>
  </si>
  <si>
    <t>Изменения финансовых обязательств</t>
  </si>
  <si>
    <t>Накопленный чистый денежный поток</t>
  </si>
  <si>
    <t>Коэффициент дисконтирования</t>
  </si>
  <si>
    <t>Дисконтированный денежный поток нарастающим итогом (PV)</t>
  </si>
  <si>
    <t>Чистая приведённая стоимость без учета продажи (NPV)</t>
  </si>
  <si>
    <t>Внутренняя норма доходности (IRR)</t>
  </si>
  <si>
    <t>Срок окупаемости (РВР)</t>
  </si>
  <si>
    <t>Дисконтированный срок окупаемости (DBP)</t>
  </si>
  <si>
    <t>* Форма заполняется:</t>
  </si>
  <si>
    <t>Прогноз инфляции</t>
  </si>
  <si>
    <t>Кумулятивная инфляция</t>
  </si>
  <si>
    <t>**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</t>
  </si>
  <si>
    <t>Доход</t>
  </si>
  <si>
    <t>Ремонт объекта</t>
  </si>
  <si>
    <t>Возникновение прочих расходов, лет после постройки</t>
  </si>
  <si>
    <t>Общая стоимость объекта, тыс. руб, без НДС</t>
  </si>
  <si>
    <t>Прочие расходы, тыс. руб. без НДС на объект</t>
  </si>
  <si>
    <t>Затраты на ремонт объекта, тыс. руб. без НДС</t>
  </si>
  <si>
    <t>Прочие расходы при эксплуатации объекта, тыс. руб. без НДС</t>
  </si>
  <si>
    <t>Прочие расходы, тыс. руб без НДС в месяц</t>
  </si>
  <si>
    <t xml:space="preserve"> - в отношении реконструированных объектов в том случае, если данный объект после реконструкции "создает" новый финансовый поток</t>
  </si>
  <si>
    <t xml:space="preserve"> - по проектам, общая стоимость реализации которых составляет 500 млн. рублей и более,</t>
  </si>
  <si>
    <t xml:space="preserve"> - в отношении вновь создаваемых объектов, для которых могут применяться расчеты экономической эффективности реализации инвестиционных проектов</t>
  </si>
  <si>
    <t>Денежный поток на собственный капитал, тыс. руб.</t>
  </si>
  <si>
    <t>Доход, тыс. руб, без НДС</t>
  </si>
  <si>
    <t>Бюджет доходов и расходов, тыс. руб.</t>
  </si>
  <si>
    <t>Кредит, тыс. руб.</t>
  </si>
  <si>
    <t>Приложение №2.3</t>
  </si>
  <si>
    <t>к приказу Минэнерго России</t>
  </si>
  <si>
    <t>от 24 марта 2010 г. №114</t>
  </si>
  <si>
    <t>Чистый денежный поток</t>
  </si>
  <si>
    <t xml:space="preserve">_____________________ </t>
  </si>
  <si>
    <t>Собственный капитал (на 01.07.2019), тыс. руб.</t>
  </si>
  <si>
    <t>2020-2034</t>
  </si>
  <si>
    <t>2026
год окончания строительства объекта</t>
  </si>
  <si>
    <t>Финансовая модель по проекту "Внедрение интеллектуальной системы коммерческого учета электрической энергии "антивандального типа" в многоквартирных домах в районах Забайкальского края и г. Читы в 2020-2026гг."</t>
  </si>
  <si>
    <t>«___»____________2022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</si>
</sst>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р_._-;\-* #,##0.00_р_._-;_-* &quot;-&quot;??_р_._-;_-@_-"/>
  </numFmts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0" fontId="1" fillId="0" borderId="4"/>
    <xf numFmtId="9" fontId="1" fillId="0" borderId="4" applyFont="0" applyFill="0" applyBorder="0" applyAlignment="0" applyProtection="0"/>
    <xf numFmtId="0" fontId="7" fillId="0" borderId="4"/>
    <xf numFmtId="9" fontId="7" fillId="0" borderId="4" applyFont="0" applyFill="0" applyBorder="0" applyAlignment="0" applyProtection="0"/>
    <xf numFmtId="165" fontId="7" fillId="0" borderId="4" applyFont="0" applyFill="0" applyBorder="0" applyAlignment="0" applyProtection="0"/>
  </cellStyleXfs>
  <cellXfs count="90">
    <xf numFmtId="0" fontId="0" fillId="0" borderId="0" xfId="0"/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justify" vertical="center"/>
    </xf>
    <xf numFmtId="0" fontId="3" fillId="0" borderId="12" xfId="0" applyFont="1" applyBorder="1" applyAlignment="1">
      <alignment horizontal="justify" vertical="center"/>
    </xf>
    <xf numFmtId="0" fontId="3" fillId="0" borderId="10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4" xfId="0" applyFont="1" applyBorder="1" applyAlignment="1">
      <alignment horizontal="justify" vertical="center"/>
    </xf>
    <xf numFmtId="0" fontId="3" fillId="0" borderId="4" xfId="0" applyFont="1" applyBorder="1" applyAlignment="1">
      <alignment horizontal="left" vertical="center"/>
    </xf>
    <xf numFmtId="0" fontId="2" fillId="0" borderId="7" xfId="0" applyFont="1" applyBorder="1" applyAlignment="1">
      <alignment horizontal="justify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/>
    </xf>
    <xf numFmtId="0" fontId="2" fillId="0" borderId="12" xfId="0" applyFont="1" applyBorder="1" applyAlignment="1">
      <alignment horizontal="justify" vertical="center"/>
    </xf>
    <xf numFmtId="0" fontId="2" fillId="0" borderId="1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4" fontId="3" fillId="0" borderId="5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164" fontId="3" fillId="0" borderId="11" xfId="1" applyNumberFormat="1" applyFont="1" applyBorder="1" applyAlignment="1">
      <alignment horizontal="center" vertical="center"/>
    </xf>
    <xf numFmtId="164" fontId="3" fillId="0" borderId="15" xfId="1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3" fontId="3" fillId="0" borderId="13" xfId="0" applyNumberFormat="1" applyFont="1" applyBorder="1" applyAlignment="1">
      <alignment horizontal="center" vertical="center"/>
    </xf>
    <xf numFmtId="3" fontId="3" fillId="0" borderId="16" xfId="0" applyNumberFormat="1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/>
    </xf>
    <xf numFmtId="10" fontId="3" fillId="0" borderId="5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vertical="center"/>
    </xf>
    <xf numFmtId="3" fontId="2" fillId="0" borderId="20" xfId="0" applyNumberFormat="1" applyFont="1" applyBorder="1" applyAlignment="1">
      <alignment horizontal="center" vertical="center"/>
    </xf>
    <xf numFmtId="3" fontId="3" fillId="0" borderId="20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2" fontId="3" fillId="0" borderId="20" xfId="0" applyNumberFormat="1" applyFont="1" applyBorder="1" applyAlignment="1">
      <alignment horizontal="center" vertical="center"/>
    </xf>
    <xf numFmtId="3" fontId="2" fillId="0" borderId="21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164" fontId="3" fillId="0" borderId="20" xfId="1" applyNumberFormat="1" applyFont="1" applyBorder="1" applyAlignment="1">
      <alignment horizontal="center" vertical="center"/>
    </xf>
    <xf numFmtId="164" fontId="3" fillId="0" borderId="20" xfId="0" applyNumberFormat="1" applyFont="1" applyBorder="1" applyAlignment="1">
      <alignment horizontal="center" vertical="center"/>
    </xf>
    <xf numFmtId="3" fontId="3" fillId="0" borderId="21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10" fontId="2" fillId="0" borderId="1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3" fontId="3" fillId="0" borderId="22" xfId="0" applyNumberFormat="1" applyFont="1" applyBorder="1" applyAlignment="1">
      <alignment horizontal="center" vertical="center"/>
    </xf>
    <xf numFmtId="3" fontId="3" fillId="0" borderId="23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left" vertical="center"/>
    </xf>
    <xf numFmtId="3" fontId="2" fillId="0" borderId="15" xfId="0" applyNumberFormat="1" applyFont="1" applyBorder="1" applyAlignment="1">
      <alignment horizontal="left" vertical="center"/>
    </xf>
    <xf numFmtId="9" fontId="3" fillId="0" borderId="5" xfId="1" applyFont="1" applyBorder="1" applyAlignment="1">
      <alignment horizontal="center" vertical="center"/>
    </xf>
    <xf numFmtId="10" fontId="3" fillId="0" borderId="4" xfId="0" applyNumberFormat="1" applyFont="1" applyBorder="1" applyAlignment="1">
      <alignment vertical="center"/>
    </xf>
    <xf numFmtId="10" fontId="2" fillId="0" borderId="4" xfId="0" applyNumberFormat="1" applyFont="1" applyBorder="1" applyAlignment="1">
      <alignment vertical="center"/>
    </xf>
    <xf numFmtId="164" fontId="6" fillId="0" borderId="0" xfId="1" applyNumberFormat="1" applyFont="1" applyAlignment="1">
      <alignment vertical="center"/>
    </xf>
    <xf numFmtId="164" fontId="6" fillId="0" borderId="4" xfId="0" applyNumberFormat="1" applyFont="1" applyBorder="1" applyAlignment="1">
      <alignment vertical="center"/>
    </xf>
    <xf numFmtId="164" fontId="2" fillId="0" borderId="20" xfId="0" applyNumberFormat="1" applyFont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2" fontId="2" fillId="0" borderId="21" xfId="0" applyNumberFormat="1" applyFont="1" applyBorder="1" applyAlignment="1">
      <alignment horizontal="center" vertical="center"/>
    </xf>
    <xf numFmtId="3" fontId="8" fillId="0" borderId="4" xfId="2" applyNumberFormat="1" applyFont="1" applyAlignment="1">
      <alignment horizontal="center" vertical="center"/>
    </xf>
    <xf numFmtId="3" fontId="8" fillId="0" borderId="4" xfId="2" applyNumberFormat="1" applyFont="1" applyAlignment="1">
      <alignment horizontal="center"/>
    </xf>
    <xf numFmtId="0" fontId="9" fillId="0" borderId="4" xfId="0" applyFont="1" applyBorder="1" applyAlignment="1">
      <alignment horizontal="right"/>
    </xf>
    <xf numFmtId="0" fontId="9" fillId="0" borderId="4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4"/>
    <cellStyle name="Обычный 3" xfId="2"/>
    <cellStyle name="Процентный" xfId="1" builtinId="5"/>
    <cellStyle name="Процентный 2" xfId="5"/>
    <cellStyle name="Процентный 3" xfId="3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40822</xdr:colOff>
      <xdr:row>13</xdr:row>
      <xdr:rowOff>13607</xdr:rowOff>
    </xdr:from>
    <xdr:to>
      <xdr:col>12</xdr:col>
      <xdr:colOff>73153</xdr:colOff>
      <xdr:row>37</xdr:row>
      <xdr:rowOff>7306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17572" y="2503714"/>
          <a:ext cx="6291617" cy="3926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7"/>
  <sheetViews>
    <sheetView tabSelected="1" topLeftCell="A43" zoomScale="70" zoomScaleNormal="70" workbookViewId="0">
      <selection activeCell="L88" sqref="L88"/>
    </sheetView>
  </sheetViews>
  <sheetFormatPr defaultColWidth="9.140625" defaultRowHeight="12.75" x14ac:dyDescent="0.2"/>
  <cols>
    <col min="1" max="1" width="58" style="1"/>
    <col min="2" max="2" width="9.140625" style="1" bestFit="1" customWidth="1"/>
    <col min="3" max="6" width="8.5703125" style="1" bestFit="1" customWidth="1"/>
    <col min="7" max="7" width="8.85546875" style="1" customWidth="1"/>
    <col min="8" max="8" width="14.85546875" style="1" customWidth="1"/>
    <col min="9" max="11" width="8.5703125" style="1" bestFit="1" customWidth="1"/>
    <col min="12" max="12" width="10.140625" style="1" bestFit="1" customWidth="1"/>
    <col min="13" max="16384" width="9.140625" style="1"/>
  </cols>
  <sheetData>
    <row r="1" spans="1:12" x14ac:dyDescent="0.2">
      <c r="L1" s="72" t="s">
        <v>64</v>
      </c>
    </row>
    <row r="2" spans="1:12" x14ac:dyDescent="0.2">
      <c r="L2" s="72" t="s">
        <v>65</v>
      </c>
    </row>
    <row r="3" spans="1:12" x14ac:dyDescent="0.2">
      <c r="L3" s="72" t="s">
        <v>66</v>
      </c>
    </row>
    <row r="4" spans="1:12" x14ac:dyDescent="0.2">
      <c r="L4" s="72"/>
    </row>
    <row r="5" spans="1:12" x14ac:dyDescent="0.2">
      <c r="L5" s="72"/>
    </row>
    <row r="6" spans="1:12" ht="41.25" customHeight="1" x14ac:dyDescent="0.2">
      <c r="A6" s="89" t="s">
        <v>72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</row>
    <row r="7" spans="1:12" ht="18.75" x14ac:dyDescent="0.3">
      <c r="L7" s="87" t="s">
        <v>0</v>
      </c>
    </row>
    <row r="8" spans="1:12" ht="18.75" x14ac:dyDescent="0.2">
      <c r="L8" s="88" t="s">
        <v>1</v>
      </c>
    </row>
    <row r="9" spans="1:12" ht="18.75" x14ac:dyDescent="0.3">
      <c r="L9" s="87" t="s">
        <v>68</v>
      </c>
    </row>
    <row r="10" spans="1:12" ht="18.75" x14ac:dyDescent="0.3">
      <c r="L10" s="87" t="s">
        <v>73</v>
      </c>
    </row>
    <row r="11" spans="1:12" ht="18.75" x14ac:dyDescent="0.3">
      <c r="L11" s="87" t="s">
        <v>2</v>
      </c>
    </row>
    <row r="12" spans="1:12" x14ac:dyDescent="0.2">
      <c r="L12" s="2"/>
    </row>
    <row r="14" spans="1:12" x14ac:dyDescent="0.2">
      <c r="A14" s="5" t="s">
        <v>3</v>
      </c>
      <c r="B14" s="5" t="s">
        <v>4</v>
      </c>
    </row>
    <row r="15" spans="1:12" x14ac:dyDescent="0.2">
      <c r="A15" s="6" t="s">
        <v>52</v>
      </c>
      <c r="B15" s="33">
        <f>-L72/1.2</f>
        <v>897069.71491471922</v>
      </c>
    </row>
    <row r="16" spans="1:12" x14ac:dyDescent="0.2">
      <c r="A16" s="6" t="s">
        <v>53</v>
      </c>
      <c r="B16" s="33">
        <f>L47</f>
        <v>4564.9172288395475</v>
      </c>
    </row>
    <row r="17" spans="1:2" x14ac:dyDescent="0.2">
      <c r="A17" s="6" t="s">
        <v>5</v>
      </c>
      <c r="B17" s="33">
        <v>5</v>
      </c>
    </row>
    <row r="18" spans="1:2" x14ac:dyDescent="0.2">
      <c r="A18" s="6" t="s">
        <v>6</v>
      </c>
      <c r="B18" s="33">
        <v>1</v>
      </c>
    </row>
    <row r="19" spans="1:2" x14ac:dyDescent="0.2">
      <c r="A19" s="6" t="s">
        <v>54</v>
      </c>
      <c r="B19" s="32"/>
    </row>
    <row r="20" spans="1:2" x14ac:dyDescent="0.2">
      <c r="A20" s="6" t="s">
        <v>7</v>
      </c>
      <c r="B20" s="33">
        <v>15</v>
      </c>
    </row>
    <row r="21" spans="1:2" x14ac:dyDescent="0.2">
      <c r="A21" s="6" t="s">
        <v>8</v>
      </c>
      <c r="B21" s="33">
        <v>5</v>
      </c>
    </row>
    <row r="22" spans="1:2" x14ac:dyDescent="0.2">
      <c r="A22" s="6" t="s">
        <v>55</v>
      </c>
      <c r="B22" s="32"/>
    </row>
    <row r="23" spans="1:2" x14ac:dyDescent="0.2">
      <c r="A23" s="6" t="s">
        <v>51</v>
      </c>
      <c r="B23" s="32"/>
    </row>
    <row r="24" spans="1:2" x14ac:dyDescent="0.2">
      <c r="A24" s="6" t="s">
        <v>10</v>
      </c>
      <c r="B24" s="32"/>
    </row>
    <row r="25" spans="1:2" x14ac:dyDescent="0.2">
      <c r="A25" s="6"/>
      <c r="B25" s="32"/>
    </row>
    <row r="26" spans="1:2" x14ac:dyDescent="0.2">
      <c r="A26" s="6" t="s">
        <v>11</v>
      </c>
      <c r="B26" s="77">
        <v>0.2</v>
      </c>
    </row>
    <row r="27" spans="1:2" x14ac:dyDescent="0.2">
      <c r="A27" s="6"/>
      <c r="B27" s="32"/>
    </row>
    <row r="28" spans="1:2" x14ac:dyDescent="0.2">
      <c r="A28" s="6" t="s">
        <v>56</v>
      </c>
      <c r="B28" s="32"/>
    </row>
    <row r="29" spans="1:2" x14ac:dyDescent="0.2">
      <c r="A29" s="6" t="s">
        <v>12</v>
      </c>
      <c r="B29" s="32"/>
    </row>
    <row r="30" spans="1:2" x14ac:dyDescent="0.2">
      <c r="A30" s="6" t="s">
        <v>13</v>
      </c>
      <c r="B30" s="33">
        <v>2</v>
      </c>
    </row>
    <row r="31" spans="1:2" x14ac:dyDescent="0.2">
      <c r="A31" s="6" t="s">
        <v>14</v>
      </c>
      <c r="B31" s="50">
        <v>0.12</v>
      </c>
    </row>
    <row r="32" spans="1:2" x14ac:dyDescent="0.2">
      <c r="A32" s="6" t="s">
        <v>15</v>
      </c>
      <c r="B32" s="50">
        <v>0.12</v>
      </c>
    </row>
    <row r="33" spans="1:34" x14ac:dyDescent="0.2">
      <c r="A33" s="6" t="s">
        <v>16</v>
      </c>
      <c r="B33" s="32">
        <f>1-B35</f>
        <v>0.36012481812682895</v>
      </c>
    </row>
    <row r="34" spans="1:34" x14ac:dyDescent="0.2">
      <c r="A34" s="6" t="s">
        <v>17</v>
      </c>
      <c r="B34" s="50">
        <v>0.1</v>
      </c>
    </row>
    <row r="35" spans="1:34" x14ac:dyDescent="0.2">
      <c r="A35" s="6" t="s">
        <v>18</v>
      </c>
      <c r="B35" s="32">
        <f>B37/(B37+881139)</f>
        <v>0.63987518187317105</v>
      </c>
    </row>
    <row r="36" spans="1:34" x14ac:dyDescent="0.2">
      <c r="A36" s="6" t="s">
        <v>19</v>
      </c>
      <c r="B36" s="50">
        <f>B31*(1-B26)*B33+B34*B35</f>
        <v>9.8559500727492699E-2</v>
      </c>
      <c r="D36" s="45"/>
    </row>
    <row r="37" spans="1:34" ht="13.5" thickBot="1" x14ac:dyDescent="0.25">
      <c r="A37" s="8" t="s">
        <v>69</v>
      </c>
      <c r="B37" s="34">
        <v>1565621</v>
      </c>
      <c r="C37" s="4"/>
      <c r="D37" s="4"/>
      <c r="E37" s="7"/>
      <c r="F37" s="7"/>
      <c r="G37" s="7"/>
      <c r="H37" s="7"/>
      <c r="I37" s="7"/>
      <c r="J37" s="7"/>
      <c r="K37" s="4"/>
    </row>
    <row r="38" spans="1:34" s="21" customFormat="1" ht="51" x14ac:dyDescent="0.2">
      <c r="A38" s="31" t="s">
        <v>20</v>
      </c>
      <c r="B38" s="18">
        <v>2020</v>
      </c>
      <c r="C38" s="42">
        <v>2021</v>
      </c>
      <c r="D38" s="68">
        <v>2022</v>
      </c>
      <c r="E38" s="68">
        <v>2023</v>
      </c>
      <c r="F38" s="18">
        <v>2024</v>
      </c>
      <c r="G38" s="68">
        <v>2025</v>
      </c>
      <c r="H38" s="68" t="s">
        <v>71</v>
      </c>
      <c r="I38" s="68">
        <v>2027</v>
      </c>
      <c r="J38" s="18">
        <v>2028</v>
      </c>
      <c r="K38" s="19">
        <v>2029</v>
      </c>
      <c r="L38" s="64" t="s">
        <v>70</v>
      </c>
    </row>
    <row r="39" spans="1:34" x14ac:dyDescent="0.2">
      <c r="A39" s="13" t="s">
        <v>46</v>
      </c>
      <c r="B39" s="36">
        <v>0</v>
      </c>
      <c r="C39" s="38">
        <v>0</v>
      </c>
      <c r="D39" s="36">
        <v>0</v>
      </c>
      <c r="E39" s="36">
        <v>0.06</v>
      </c>
      <c r="F39" s="36">
        <v>4.7E-2</v>
      </c>
      <c r="G39" s="36">
        <v>4.0000000000000036E-2</v>
      </c>
      <c r="H39" s="36">
        <v>4.0000000000000036E-2</v>
      </c>
      <c r="I39" s="36">
        <v>0.04</v>
      </c>
      <c r="J39" s="36">
        <v>0.04</v>
      </c>
      <c r="K39" s="37">
        <v>0.04</v>
      </c>
      <c r="L39" s="65"/>
      <c r="N39" s="80">
        <f>B39+1</f>
        <v>1</v>
      </c>
      <c r="O39" s="80">
        <f t="shared" ref="O39:R39" si="0">C39+1</f>
        <v>1</v>
      </c>
      <c r="P39" s="80">
        <f t="shared" si="0"/>
        <v>1</v>
      </c>
      <c r="Q39" s="80">
        <f t="shared" si="0"/>
        <v>1.06</v>
      </c>
      <c r="R39" s="80">
        <f t="shared" si="0"/>
        <v>1.0469999999999999</v>
      </c>
      <c r="S39" s="80">
        <f>G39+1</f>
        <v>1.04</v>
      </c>
      <c r="T39" s="80">
        <f t="shared" ref="T39:V39" si="1">H39+1</f>
        <v>1.04</v>
      </c>
      <c r="U39" s="80">
        <f t="shared" si="1"/>
        <v>1.04</v>
      </c>
      <c r="V39" s="80">
        <f t="shared" si="1"/>
        <v>1.04</v>
      </c>
      <c r="W39" s="80">
        <f>K39+1</f>
        <v>1.04</v>
      </c>
    </row>
    <row r="40" spans="1:34" x14ac:dyDescent="0.2">
      <c r="A40" s="13" t="s">
        <v>47</v>
      </c>
      <c r="B40" s="35">
        <v>0</v>
      </c>
      <c r="C40" s="44">
        <v>0</v>
      </c>
      <c r="D40" s="35">
        <v>0</v>
      </c>
      <c r="E40" s="35">
        <v>6.0000000000000053E-2</v>
      </c>
      <c r="F40" s="35">
        <v>0.10982000000000003</v>
      </c>
      <c r="G40" s="35">
        <v>0.15421280000000004</v>
      </c>
      <c r="H40" s="35">
        <v>0.20038131199999998</v>
      </c>
      <c r="I40" s="35">
        <v>0.24839656447999992</v>
      </c>
      <c r="J40" s="35">
        <v>0.29833242705920004</v>
      </c>
      <c r="K40" s="55">
        <v>0.35026572414156809</v>
      </c>
      <c r="L40" s="66"/>
      <c r="N40" s="80">
        <f>N39</f>
        <v>1</v>
      </c>
      <c r="O40" s="80">
        <f>N40*O39</f>
        <v>1</v>
      </c>
      <c r="P40" s="80">
        <f t="shared" ref="P40:V40" si="2">O40*P39</f>
        <v>1</v>
      </c>
      <c r="Q40" s="80">
        <f t="shared" si="2"/>
        <v>1.06</v>
      </c>
      <c r="R40" s="80">
        <f t="shared" si="2"/>
        <v>1.10982</v>
      </c>
      <c r="S40" s="80">
        <f t="shared" si="2"/>
        <v>1.1542128</v>
      </c>
      <c r="T40" s="80">
        <f t="shared" si="2"/>
        <v>1.200381312</v>
      </c>
      <c r="U40" s="80">
        <f t="shared" si="2"/>
        <v>1.2483965644799999</v>
      </c>
      <c r="V40" s="80">
        <f t="shared" si="2"/>
        <v>1.2983324270592</v>
      </c>
      <c r="W40" s="80">
        <f>V40*W39</f>
        <v>1.3502657241415681</v>
      </c>
    </row>
    <row r="41" spans="1:34" s="4" customFormat="1" ht="13.5" thickBot="1" x14ac:dyDescent="0.25">
      <c r="A41" s="14" t="s">
        <v>61</v>
      </c>
      <c r="B41" s="46">
        <v>7803.0354330967521</v>
      </c>
      <c r="C41" s="47">
        <v>23149.162404506875</v>
      </c>
      <c r="D41" s="46">
        <v>139859.60001121101</v>
      </c>
      <c r="E41" s="46">
        <v>184482.0598766141</v>
      </c>
      <c r="F41" s="46">
        <v>202705.61370149971</v>
      </c>
      <c r="G41" s="46">
        <v>225512.70110342029</v>
      </c>
      <c r="H41" s="46">
        <v>266342.63975065341</v>
      </c>
      <c r="I41" s="46">
        <v>108868.05338722959</v>
      </c>
      <c r="J41" s="46">
        <v>87352.629869039738</v>
      </c>
      <c r="K41" s="53">
        <v>90846.73506380133</v>
      </c>
      <c r="L41" s="67">
        <v>1848659.660054619</v>
      </c>
      <c r="M41" s="7"/>
      <c r="N41" s="81">
        <f>N40-1</f>
        <v>0</v>
      </c>
      <c r="O41" s="81">
        <f t="shared" ref="O41:W41" si="3">O40-1</f>
        <v>0</v>
      </c>
      <c r="P41" s="81">
        <f t="shared" si="3"/>
        <v>0</v>
      </c>
      <c r="Q41" s="81">
        <f t="shared" si="3"/>
        <v>6.0000000000000053E-2</v>
      </c>
      <c r="R41" s="81">
        <f t="shared" si="3"/>
        <v>0.10982000000000003</v>
      </c>
      <c r="S41" s="81">
        <f t="shared" si="3"/>
        <v>0.15421280000000004</v>
      </c>
      <c r="T41" s="81">
        <f t="shared" si="3"/>
        <v>0.20038131199999998</v>
      </c>
      <c r="U41" s="81">
        <f t="shared" si="3"/>
        <v>0.24839656447999992</v>
      </c>
      <c r="V41" s="81">
        <f t="shared" si="3"/>
        <v>0.29833242705920004</v>
      </c>
      <c r="W41" s="81">
        <f t="shared" si="3"/>
        <v>0.35026572414156809</v>
      </c>
      <c r="X41" s="85"/>
      <c r="Y41" s="86"/>
      <c r="Z41" s="7"/>
      <c r="AA41" s="7"/>
      <c r="AB41" s="7"/>
      <c r="AC41" s="7"/>
      <c r="AD41" s="7"/>
      <c r="AE41" s="7"/>
      <c r="AF41" s="7"/>
      <c r="AG41" s="7"/>
      <c r="AH41" s="7"/>
    </row>
    <row r="42" spans="1:34" s="4" customFormat="1" ht="13.5" thickBot="1" x14ac:dyDescent="0.25">
      <c r="C42" s="43"/>
      <c r="E42" s="7"/>
      <c r="F42" s="7"/>
      <c r="G42" s="7"/>
      <c r="H42" s="7"/>
      <c r="I42" s="7"/>
      <c r="J42" s="7"/>
      <c r="M42" s="7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</row>
    <row r="43" spans="1:34" s="20" customFormat="1" x14ac:dyDescent="0.2">
      <c r="A43" s="17" t="s">
        <v>63</v>
      </c>
      <c r="B43" s="18">
        <v>2020</v>
      </c>
      <c r="C43" s="42">
        <v>2021</v>
      </c>
      <c r="D43" s="68">
        <v>2022</v>
      </c>
      <c r="E43" s="68">
        <v>2023</v>
      </c>
      <c r="F43" s="18">
        <v>2024</v>
      </c>
      <c r="G43" s="68"/>
      <c r="H43" s="18">
        <v>2026</v>
      </c>
      <c r="I43" s="68">
        <v>2027</v>
      </c>
      <c r="J43" s="18">
        <v>2028</v>
      </c>
      <c r="K43" s="19">
        <v>2029</v>
      </c>
      <c r="L43" s="64" t="s">
        <v>70</v>
      </c>
      <c r="N43" s="78"/>
      <c r="Q43" s="79"/>
      <c r="R43" s="79"/>
      <c r="S43" s="79"/>
      <c r="T43" s="79"/>
      <c r="U43" s="79"/>
      <c r="V43" s="79"/>
      <c r="W43" s="79"/>
      <c r="X43" s="79"/>
    </row>
    <row r="44" spans="1:34" x14ac:dyDescent="0.2">
      <c r="A44" s="11" t="s">
        <v>21</v>
      </c>
      <c r="B44" s="33">
        <v>0</v>
      </c>
      <c r="C44" s="48">
        <v>18400.757162554357</v>
      </c>
      <c r="D44" s="33">
        <v>19640.219744441827</v>
      </c>
      <c r="E44" s="33">
        <v>0</v>
      </c>
      <c r="F44" s="33">
        <v>0</v>
      </c>
      <c r="G44" s="33">
        <v>0</v>
      </c>
      <c r="H44" s="33">
        <v>0</v>
      </c>
      <c r="I44" s="33">
        <f t="shared" ref="I44:K44" si="4">I46</f>
        <v>0</v>
      </c>
      <c r="J44" s="33">
        <f t="shared" si="4"/>
        <v>0</v>
      </c>
      <c r="K44" s="49">
        <f t="shared" si="4"/>
        <v>0</v>
      </c>
      <c r="L44" s="60">
        <f>L46</f>
        <v>38040.976906996206</v>
      </c>
    </row>
    <row r="45" spans="1:34" x14ac:dyDescent="0.2">
      <c r="A45" s="11" t="s">
        <v>22</v>
      </c>
      <c r="B45" s="33">
        <v>18400.757162554357</v>
      </c>
      <c r="C45" s="48">
        <v>19640.219744441827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49">
        <v>0</v>
      </c>
      <c r="L45" s="60">
        <f>SUM(B45:K45)</f>
        <v>38040.976906996184</v>
      </c>
    </row>
    <row r="46" spans="1:34" x14ac:dyDescent="0.2">
      <c r="A46" s="11" t="s">
        <v>23</v>
      </c>
      <c r="B46" s="33">
        <v>0</v>
      </c>
      <c r="C46" s="48">
        <v>18400.757162554401</v>
      </c>
      <c r="D46" s="33">
        <v>19640.219744441802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49">
        <v>0</v>
      </c>
      <c r="L46" s="60">
        <f>SUM(B46:K46)</f>
        <v>38040.976906996206</v>
      </c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</row>
    <row r="47" spans="1:34" ht="13.5" thickBot="1" x14ac:dyDescent="0.25">
      <c r="A47" s="12" t="s">
        <v>24</v>
      </c>
      <c r="B47" s="46">
        <v>0</v>
      </c>
      <c r="C47" s="47">
        <v>2208.090859506523</v>
      </c>
      <c r="D47" s="46">
        <v>2356.8263693330191</v>
      </c>
      <c r="E47" s="46">
        <v>0</v>
      </c>
      <c r="F47" s="46">
        <v>0</v>
      </c>
      <c r="G47" s="46">
        <v>0</v>
      </c>
      <c r="H47" s="46">
        <v>0</v>
      </c>
      <c r="I47" s="46">
        <v>1.746229827404022E-12</v>
      </c>
      <c r="J47" s="46">
        <v>1.746229827404022E-12</v>
      </c>
      <c r="K47" s="53">
        <v>1.746229827404022E-12</v>
      </c>
      <c r="L47" s="67">
        <f>SUM(B47:K47)</f>
        <v>4564.9172288395475</v>
      </c>
    </row>
    <row r="48" spans="1:34" ht="13.5" thickBot="1" x14ac:dyDescent="0.25">
      <c r="A48" s="15"/>
      <c r="B48" s="16"/>
      <c r="C48" s="16"/>
      <c r="D48" s="16"/>
      <c r="E48" s="16"/>
      <c r="F48" s="16"/>
      <c r="G48" s="16"/>
      <c r="H48" s="16"/>
      <c r="I48" s="16"/>
      <c r="J48" s="16"/>
      <c r="K48" s="16"/>
    </row>
    <row r="49" spans="1:23" s="21" customFormat="1" ht="51" x14ac:dyDescent="0.2">
      <c r="A49" s="17" t="s">
        <v>62</v>
      </c>
      <c r="B49" s="18">
        <v>2020</v>
      </c>
      <c r="C49" s="42">
        <v>2021</v>
      </c>
      <c r="D49" s="68">
        <v>2022</v>
      </c>
      <c r="E49" s="68">
        <v>2023</v>
      </c>
      <c r="F49" s="18">
        <v>2024</v>
      </c>
      <c r="G49" s="68">
        <v>2025</v>
      </c>
      <c r="H49" s="68" t="s">
        <v>71</v>
      </c>
      <c r="I49" s="68">
        <v>2027</v>
      </c>
      <c r="J49" s="18">
        <v>2028</v>
      </c>
      <c r="K49" s="68">
        <v>2029</v>
      </c>
      <c r="L49" s="64" t="s">
        <v>70</v>
      </c>
    </row>
    <row r="50" spans="1:23" x14ac:dyDescent="0.2">
      <c r="A50" s="11" t="s">
        <v>49</v>
      </c>
      <c r="B50" s="33">
        <f>B41</f>
        <v>7803.0354330967521</v>
      </c>
      <c r="C50" s="33">
        <f t="shared" ref="C50:K50" si="5">C41</f>
        <v>23149.162404506875</v>
      </c>
      <c r="D50" s="33">
        <f t="shared" si="5"/>
        <v>139859.60001121101</v>
      </c>
      <c r="E50" s="33">
        <f t="shared" si="5"/>
        <v>184482.0598766141</v>
      </c>
      <c r="F50" s="33">
        <f t="shared" si="5"/>
        <v>202705.61370149971</v>
      </c>
      <c r="G50" s="33">
        <f t="shared" si="5"/>
        <v>225512.70110342029</v>
      </c>
      <c r="H50" s="33">
        <f t="shared" si="5"/>
        <v>266342.63975065341</v>
      </c>
      <c r="I50" s="33">
        <f t="shared" si="5"/>
        <v>108868.05338722959</v>
      </c>
      <c r="J50" s="33">
        <f t="shared" si="5"/>
        <v>87352.629869039738</v>
      </c>
      <c r="K50" s="48">
        <f t="shared" si="5"/>
        <v>90846.73506380133</v>
      </c>
      <c r="L50" s="60">
        <f>L41</f>
        <v>1848659.660054619</v>
      </c>
    </row>
    <row r="51" spans="1:23" x14ac:dyDescent="0.2">
      <c r="A51" s="11" t="s">
        <v>25</v>
      </c>
      <c r="B51" s="73">
        <v>0</v>
      </c>
      <c r="C51" s="74">
        <v>0</v>
      </c>
      <c r="D51" s="74">
        <v>0</v>
      </c>
      <c r="E51" s="74">
        <v>0</v>
      </c>
      <c r="F51" s="74">
        <v>0</v>
      </c>
      <c r="G51" s="73">
        <v>0</v>
      </c>
      <c r="H51" s="73">
        <v>0</v>
      </c>
      <c r="I51" s="73">
        <v>0</v>
      </c>
      <c r="J51" s="73">
        <v>0</v>
      </c>
      <c r="K51" s="74">
        <v>0</v>
      </c>
      <c r="L51" s="60">
        <f t="shared" ref="L51:L56" si="6">SUM(B51:K51)</f>
        <v>0</v>
      </c>
    </row>
    <row r="52" spans="1:23" x14ac:dyDescent="0.2">
      <c r="A52" s="11" t="s">
        <v>50</v>
      </c>
      <c r="B52" s="73">
        <v>0</v>
      </c>
      <c r="C52" s="74">
        <v>0</v>
      </c>
      <c r="D52" s="74">
        <v>0</v>
      </c>
      <c r="E52" s="74">
        <v>0</v>
      </c>
      <c r="F52" s="74">
        <v>0</v>
      </c>
      <c r="G52" s="73">
        <v>0</v>
      </c>
      <c r="H52" s="73">
        <v>0</v>
      </c>
      <c r="I52" s="73">
        <v>0</v>
      </c>
      <c r="J52" s="73">
        <v>0</v>
      </c>
      <c r="K52" s="74">
        <v>0</v>
      </c>
      <c r="L52" s="60">
        <f t="shared" si="6"/>
        <v>0</v>
      </c>
    </row>
    <row r="53" spans="1:23" x14ac:dyDescent="0.2">
      <c r="A53" s="11" t="s">
        <v>9</v>
      </c>
      <c r="B53" s="73">
        <v>0</v>
      </c>
      <c r="C53" s="74">
        <v>0</v>
      </c>
      <c r="D53" s="74">
        <v>0</v>
      </c>
      <c r="E53" s="74">
        <v>0</v>
      </c>
      <c r="F53" s="74">
        <v>0</v>
      </c>
      <c r="G53" s="73">
        <v>0</v>
      </c>
      <c r="H53" s="73">
        <v>0</v>
      </c>
      <c r="I53" s="73">
        <v>0</v>
      </c>
      <c r="J53" s="73">
        <v>0</v>
      </c>
      <c r="K53" s="74">
        <v>0</v>
      </c>
      <c r="L53" s="60">
        <f t="shared" si="6"/>
        <v>0</v>
      </c>
    </row>
    <row r="54" spans="1:23" hidden="1" x14ac:dyDescent="0.2">
      <c r="A54" s="10"/>
      <c r="B54" s="33"/>
      <c r="C54" s="48"/>
      <c r="D54" s="33"/>
      <c r="E54" s="33"/>
      <c r="F54" s="33"/>
      <c r="G54" s="33"/>
      <c r="H54" s="33"/>
      <c r="I54" s="33"/>
      <c r="J54" s="33"/>
      <c r="K54" s="48"/>
      <c r="L54" s="60">
        <f t="shared" si="6"/>
        <v>0</v>
      </c>
    </row>
    <row r="55" spans="1:23" hidden="1" x14ac:dyDescent="0.2">
      <c r="A55" s="10"/>
      <c r="B55" s="33"/>
      <c r="C55" s="48"/>
      <c r="D55" s="33"/>
      <c r="E55" s="33"/>
      <c r="F55" s="33"/>
      <c r="G55" s="33"/>
      <c r="H55" s="33"/>
      <c r="I55" s="33"/>
      <c r="J55" s="33"/>
      <c r="K55" s="48"/>
      <c r="L55" s="60">
        <f t="shared" si="6"/>
        <v>0</v>
      </c>
    </row>
    <row r="56" spans="1:23" x14ac:dyDescent="0.2">
      <c r="A56" s="11" t="s">
        <v>26</v>
      </c>
      <c r="B56" s="33">
        <v>0</v>
      </c>
      <c r="C56" s="48">
        <v>0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48">
        <v>0</v>
      </c>
      <c r="L56" s="60">
        <f t="shared" si="6"/>
        <v>0</v>
      </c>
    </row>
    <row r="57" spans="1:23" s="21" customFormat="1" ht="25.5" x14ac:dyDescent="0.2">
      <c r="A57" s="22" t="s">
        <v>27</v>
      </c>
      <c r="B57" s="51">
        <f>B50+B51</f>
        <v>7803.0354330967521</v>
      </c>
      <c r="C57" s="51">
        <f t="shared" ref="C57:L57" si="7">C50+C51</f>
        <v>23149.162404506875</v>
      </c>
      <c r="D57" s="51">
        <f t="shared" si="7"/>
        <v>139859.60001121101</v>
      </c>
      <c r="E57" s="51">
        <f t="shared" si="7"/>
        <v>184482.0598766141</v>
      </c>
      <c r="F57" s="51">
        <f t="shared" si="7"/>
        <v>202705.61370149971</v>
      </c>
      <c r="G57" s="51">
        <f t="shared" si="7"/>
        <v>225512.70110342029</v>
      </c>
      <c r="H57" s="51">
        <f t="shared" si="7"/>
        <v>266342.63975065341</v>
      </c>
      <c r="I57" s="51">
        <f t="shared" si="7"/>
        <v>108868.05338722959</v>
      </c>
      <c r="J57" s="51">
        <f t="shared" si="7"/>
        <v>87352.629869039738</v>
      </c>
      <c r="K57" s="52">
        <f t="shared" si="7"/>
        <v>90846.73506380133</v>
      </c>
      <c r="L57" s="59">
        <f t="shared" si="7"/>
        <v>1848659.660054619</v>
      </c>
    </row>
    <row r="58" spans="1:23" x14ac:dyDescent="0.2">
      <c r="A58" s="11" t="s">
        <v>28</v>
      </c>
      <c r="B58" s="33">
        <v>-385.61666225375637</v>
      </c>
      <c r="C58" s="33">
        <v>-4627.3999470450763</v>
      </c>
      <c r="D58" s="33">
        <v>-11002.004913014807</v>
      </c>
      <c r="E58" s="33">
        <v>-36327.354771528684</v>
      </c>
      <c r="F58" s="33">
        <v>-68322.389282190008</v>
      </c>
      <c r="G58" s="33">
        <v>-102836.59730097528</v>
      </c>
      <c r="H58" s="33">
        <v>-135506.59354213893</v>
      </c>
      <c r="I58" s="33">
        <v>-168411.93806992905</v>
      </c>
      <c r="J58" s="33">
        <v>-143086.58821141516</v>
      </c>
      <c r="K58" s="33">
        <v>-111091.55370075384</v>
      </c>
      <c r="L58" s="60">
        <v>-897069.71491471899</v>
      </c>
      <c r="N58" s="58"/>
      <c r="O58" s="58"/>
      <c r="P58" s="58"/>
      <c r="Q58" s="58"/>
      <c r="R58" s="58"/>
      <c r="S58" s="58"/>
      <c r="T58" s="58"/>
      <c r="U58" s="58"/>
      <c r="V58" s="58"/>
      <c r="W58" s="58"/>
    </row>
    <row r="59" spans="1:23" s="21" customFormat="1" x14ac:dyDescent="0.2">
      <c r="A59" s="24" t="s">
        <v>29</v>
      </c>
      <c r="B59" s="51">
        <f>B57+B58</f>
        <v>7417.4187708429954</v>
      </c>
      <c r="C59" s="51">
        <f t="shared" ref="C59:L59" si="8">C57+C58</f>
        <v>18521.762457461798</v>
      </c>
      <c r="D59" s="51">
        <f t="shared" si="8"/>
        <v>128857.59509819619</v>
      </c>
      <c r="E59" s="51">
        <f t="shared" si="8"/>
        <v>148154.70510508542</v>
      </c>
      <c r="F59" s="51">
        <f t="shared" si="8"/>
        <v>134383.2244193097</v>
      </c>
      <c r="G59" s="51">
        <f t="shared" si="8"/>
        <v>122676.10380244501</v>
      </c>
      <c r="H59" s="51">
        <f t="shared" si="8"/>
        <v>130836.04620851448</v>
      </c>
      <c r="I59" s="51">
        <f t="shared" si="8"/>
        <v>-59543.884682699456</v>
      </c>
      <c r="J59" s="51">
        <f t="shared" si="8"/>
        <v>-55733.958342375423</v>
      </c>
      <c r="K59" s="52">
        <f t="shared" si="8"/>
        <v>-20244.818636952506</v>
      </c>
      <c r="L59" s="59">
        <f t="shared" si="8"/>
        <v>951589.94513989997</v>
      </c>
    </row>
    <row r="60" spans="1:23" x14ac:dyDescent="0.2">
      <c r="A60" s="11" t="s">
        <v>30</v>
      </c>
      <c r="B60" s="33">
        <f>-B47</f>
        <v>0</v>
      </c>
      <c r="C60" s="33">
        <f t="shared" ref="C60:L60" si="9">-C47</f>
        <v>-2208.090859506523</v>
      </c>
      <c r="D60" s="33">
        <f t="shared" si="9"/>
        <v>-2356.8263693330191</v>
      </c>
      <c r="E60" s="33">
        <f t="shared" si="9"/>
        <v>0</v>
      </c>
      <c r="F60" s="33">
        <f t="shared" si="9"/>
        <v>0</v>
      </c>
      <c r="G60" s="33">
        <f t="shared" si="9"/>
        <v>0</v>
      </c>
      <c r="H60" s="33">
        <f t="shared" si="9"/>
        <v>0</v>
      </c>
      <c r="I60" s="33">
        <f t="shared" si="9"/>
        <v>-1.746229827404022E-12</v>
      </c>
      <c r="J60" s="33">
        <f t="shared" si="9"/>
        <v>-1.746229827404022E-12</v>
      </c>
      <c r="K60" s="48">
        <f t="shared" si="9"/>
        <v>-1.746229827404022E-12</v>
      </c>
      <c r="L60" s="60">
        <f t="shared" si="9"/>
        <v>-4564.9172288395475</v>
      </c>
    </row>
    <row r="61" spans="1:23" s="21" customFormat="1" x14ac:dyDescent="0.2">
      <c r="A61" s="25" t="s">
        <v>31</v>
      </c>
      <c r="B61" s="51">
        <f>B59+B60</f>
        <v>7417.4187708429954</v>
      </c>
      <c r="C61" s="51">
        <f t="shared" ref="C61:J61" si="10">C59+C60</f>
        <v>16313.671597955276</v>
      </c>
      <c r="D61" s="51">
        <f t="shared" si="10"/>
        <v>126500.76872886317</v>
      </c>
      <c r="E61" s="51">
        <f t="shared" si="10"/>
        <v>148154.70510508542</v>
      </c>
      <c r="F61" s="51">
        <f t="shared" si="10"/>
        <v>134383.2244193097</v>
      </c>
      <c r="G61" s="51">
        <f t="shared" si="10"/>
        <v>122676.10380244501</v>
      </c>
      <c r="H61" s="51">
        <f t="shared" si="10"/>
        <v>130836.04620851448</v>
      </c>
      <c r="I61" s="51">
        <f t="shared" si="10"/>
        <v>-59543.884682699456</v>
      </c>
      <c r="J61" s="51">
        <f t="shared" si="10"/>
        <v>-55733.958342375423</v>
      </c>
      <c r="K61" s="52">
        <f>K59+K60</f>
        <v>-20244.818636952506</v>
      </c>
      <c r="L61" s="59">
        <f>L59+L60</f>
        <v>947025.02791106037</v>
      </c>
    </row>
    <row r="62" spans="1:23" x14ac:dyDescent="0.2">
      <c r="A62" s="11" t="s">
        <v>11</v>
      </c>
      <c r="B62" s="33">
        <v>0</v>
      </c>
      <c r="C62" s="48">
        <v>0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48">
        <v>0</v>
      </c>
      <c r="L62" s="60">
        <v>0</v>
      </c>
    </row>
    <row r="63" spans="1:23" s="21" customFormat="1" ht="13.5" thickBot="1" x14ac:dyDescent="0.25">
      <c r="A63" s="26" t="s">
        <v>32</v>
      </c>
      <c r="B63" s="54">
        <f>B61-B62</f>
        <v>7417.4187708429954</v>
      </c>
      <c r="C63" s="54">
        <f t="shared" ref="C63:K63" si="11">C61-C62</f>
        <v>16313.671597955276</v>
      </c>
      <c r="D63" s="54">
        <f t="shared" si="11"/>
        <v>126500.76872886317</v>
      </c>
      <c r="E63" s="54">
        <f t="shared" si="11"/>
        <v>148154.70510508542</v>
      </c>
      <c r="F63" s="54">
        <f t="shared" si="11"/>
        <v>134383.2244193097</v>
      </c>
      <c r="G63" s="54">
        <f t="shared" si="11"/>
        <v>122676.10380244501</v>
      </c>
      <c r="H63" s="54">
        <f t="shared" si="11"/>
        <v>130836.04620851448</v>
      </c>
      <c r="I63" s="54">
        <f t="shared" si="11"/>
        <v>-59543.884682699456</v>
      </c>
      <c r="J63" s="54">
        <f t="shared" si="11"/>
        <v>-55733.958342375423</v>
      </c>
      <c r="K63" s="71">
        <f t="shared" si="11"/>
        <v>-20244.818636952506</v>
      </c>
      <c r="L63" s="63">
        <f>L61-L62</f>
        <v>947025.02791106037</v>
      </c>
    </row>
    <row r="64" spans="1:23" ht="13.5" thickBot="1" x14ac:dyDescent="0.25">
      <c r="A64" s="15"/>
      <c r="B64" s="16"/>
      <c r="C64" s="16"/>
      <c r="D64" s="16"/>
      <c r="E64" s="16"/>
      <c r="F64" s="16"/>
      <c r="G64" s="16"/>
      <c r="H64" s="16"/>
      <c r="I64" s="16"/>
      <c r="J64" s="16"/>
      <c r="K64" s="16"/>
    </row>
    <row r="65" spans="1:12" s="21" customFormat="1" ht="51" x14ac:dyDescent="0.2">
      <c r="A65" s="28" t="s">
        <v>60</v>
      </c>
      <c r="B65" s="18">
        <v>2020</v>
      </c>
      <c r="C65" s="42">
        <v>2021</v>
      </c>
      <c r="D65" s="68">
        <v>2022</v>
      </c>
      <c r="E65" s="68">
        <v>2023</v>
      </c>
      <c r="F65" s="18">
        <v>2024</v>
      </c>
      <c r="G65" s="68">
        <v>2025</v>
      </c>
      <c r="H65" s="68" t="s">
        <v>71</v>
      </c>
      <c r="I65" s="68">
        <v>2027</v>
      </c>
      <c r="J65" s="18">
        <v>2028</v>
      </c>
      <c r="K65" s="19">
        <v>2029</v>
      </c>
      <c r="L65" s="64" t="s">
        <v>70</v>
      </c>
    </row>
    <row r="66" spans="1:12" s="21" customFormat="1" x14ac:dyDescent="0.2">
      <c r="A66" s="22" t="s">
        <v>33</v>
      </c>
      <c r="B66" s="51">
        <v>9363.6425197161025</v>
      </c>
      <c r="C66" s="51">
        <v>27778.99488540825</v>
      </c>
      <c r="D66" s="51">
        <v>167831.52001345321</v>
      </c>
      <c r="E66" s="51">
        <v>221378.47185193692</v>
      </c>
      <c r="F66" s="51">
        <v>243246.73644179967</v>
      </c>
      <c r="G66" s="51">
        <v>270615.24132410437</v>
      </c>
      <c r="H66" s="51">
        <v>319611.16770078411</v>
      </c>
      <c r="I66" s="51">
        <v>130641.66406467551</v>
      </c>
      <c r="J66" s="51">
        <v>104823.15584284769</v>
      </c>
      <c r="K66" s="52">
        <v>109016.08207656159</v>
      </c>
      <c r="L66" s="59">
        <v>2218391.5920655434</v>
      </c>
    </row>
    <row r="67" spans="1:12" x14ac:dyDescent="0.2">
      <c r="A67" s="10" t="s">
        <v>28</v>
      </c>
      <c r="B67" s="33"/>
      <c r="C67" s="33"/>
      <c r="D67" s="33"/>
      <c r="E67" s="33"/>
      <c r="F67" s="33"/>
      <c r="G67" s="33"/>
      <c r="H67" s="33"/>
      <c r="I67" s="33"/>
      <c r="J67" s="33"/>
      <c r="K67" s="48"/>
      <c r="L67" s="60"/>
    </row>
    <row r="68" spans="1:12" x14ac:dyDescent="0.2">
      <c r="A68" s="10" t="s">
        <v>30</v>
      </c>
      <c r="B68" s="33">
        <f>B60</f>
        <v>0</v>
      </c>
      <c r="C68" s="33">
        <f t="shared" ref="C68:L68" si="12">C60</f>
        <v>-2208.090859506523</v>
      </c>
      <c r="D68" s="33">
        <f t="shared" si="12"/>
        <v>-2356.8263693330191</v>
      </c>
      <c r="E68" s="33">
        <f t="shared" si="12"/>
        <v>0</v>
      </c>
      <c r="F68" s="33">
        <f t="shared" si="12"/>
        <v>0</v>
      </c>
      <c r="G68" s="33">
        <f t="shared" si="12"/>
        <v>0</v>
      </c>
      <c r="H68" s="33">
        <f t="shared" si="12"/>
        <v>0</v>
      </c>
      <c r="I68" s="33">
        <f t="shared" si="12"/>
        <v>-1.746229827404022E-12</v>
      </c>
      <c r="J68" s="33">
        <f t="shared" si="12"/>
        <v>-1.746229827404022E-12</v>
      </c>
      <c r="K68" s="48">
        <f t="shared" si="12"/>
        <v>-1.746229827404022E-12</v>
      </c>
      <c r="L68" s="60">
        <f t="shared" si="12"/>
        <v>-4564.9172288395475</v>
      </c>
    </row>
    <row r="69" spans="1:12" x14ac:dyDescent="0.2">
      <c r="A69" s="10" t="s">
        <v>11</v>
      </c>
      <c r="B69" s="9"/>
      <c r="C69" s="9"/>
      <c r="D69" s="9"/>
      <c r="E69" s="9"/>
      <c r="F69" s="9"/>
      <c r="G69" s="9"/>
      <c r="H69" s="9"/>
      <c r="I69" s="9"/>
      <c r="J69" s="9"/>
      <c r="K69" s="41"/>
      <c r="L69" s="61"/>
    </row>
    <row r="70" spans="1:12" x14ac:dyDescent="0.2">
      <c r="A70" s="10" t="s">
        <v>34</v>
      </c>
      <c r="B70" s="33">
        <v>3066.7928604257258</v>
      </c>
      <c r="C70" s="33">
        <v>1744.7724850683562</v>
      </c>
      <c r="D70" s="33">
        <v>-2646.5701437283242</v>
      </c>
      <c r="E70" s="33">
        <v>-4901.3774646614984</v>
      </c>
      <c r="F70" s="33">
        <v>-5641.2980592609238</v>
      </c>
      <c r="G70" s="33">
        <v>-8190.7606947290697</v>
      </c>
      <c r="H70" s="33">
        <v>-13988.578456370858</v>
      </c>
      <c r="I70" s="33">
        <v>-21773.610677445919</v>
      </c>
      <c r="J70" s="33">
        <v>-17470.525973807948</v>
      </c>
      <c r="K70" s="48">
        <v>-18169.347012760267</v>
      </c>
      <c r="L70" s="60">
        <v>-190317.98902798005</v>
      </c>
    </row>
    <row r="71" spans="1:12" x14ac:dyDescent="0.2">
      <c r="A71" s="10" t="s">
        <v>35</v>
      </c>
      <c r="B71" s="33">
        <v>-255.56607170214383</v>
      </c>
      <c r="C71" s="33">
        <v>110.16836461311411</v>
      </c>
      <c r="D71" s="33">
        <v>365.94521906638977</v>
      </c>
      <c r="E71" s="33">
        <v>187.90061007776421</v>
      </c>
      <c r="F71" s="33">
        <v>61.660049549953328</v>
      </c>
      <c r="G71" s="33">
        <v>212.45521962234488</v>
      </c>
      <c r="H71" s="33">
        <v>483.15148013681574</v>
      </c>
      <c r="I71" s="33">
        <v>648.75268508958834</v>
      </c>
      <c r="J71" s="33">
        <v>-358.59039196983122</v>
      </c>
      <c r="K71" s="48">
        <v>58.235086579359631</v>
      </c>
      <c r="L71" s="60">
        <v>1842.1490648156296</v>
      </c>
    </row>
    <row r="72" spans="1:12" x14ac:dyDescent="0.2">
      <c r="A72" s="10" t="s">
        <v>36</v>
      </c>
      <c r="B72" s="33">
        <v>-27764.399682270458</v>
      </c>
      <c r="C72" s="33">
        <v>-38247.629795818386</v>
      </c>
      <c r="D72" s="33">
        <v>-151952.09915108327</v>
      </c>
      <c r="E72" s="33">
        <v>-191970.20706396794</v>
      </c>
      <c r="F72" s="33">
        <v>-209398.94808623416</v>
      </c>
      <c r="G72" s="33">
        <v>-221470.67715572988</v>
      </c>
      <c r="H72" s="33">
        <v>-235679.69696255901</v>
      </c>
      <c r="I72" s="33">
        <v>0</v>
      </c>
      <c r="J72" s="33">
        <v>0</v>
      </c>
      <c r="K72" s="48">
        <v>0</v>
      </c>
      <c r="L72" s="60">
        <f>SUM(B72:K72)</f>
        <v>-1076483.6578976631</v>
      </c>
    </row>
    <row r="73" spans="1:12" x14ac:dyDescent="0.2">
      <c r="A73" s="10" t="s">
        <v>37</v>
      </c>
      <c r="B73" s="33"/>
      <c r="C73" s="33"/>
      <c r="D73" s="33"/>
      <c r="E73" s="33"/>
      <c r="F73" s="33"/>
      <c r="G73" s="33"/>
      <c r="H73" s="33"/>
      <c r="I73" s="33"/>
      <c r="J73" s="33"/>
      <c r="K73" s="48"/>
      <c r="L73" s="60"/>
    </row>
    <row r="74" spans="1:12" s="21" customFormat="1" x14ac:dyDescent="0.2">
      <c r="A74" s="29" t="s">
        <v>67</v>
      </c>
      <c r="B74" s="51">
        <f>SUM(B66:B73)</f>
        <v>-15589.530373830772</v>
      </c>
      <c r="C74" s="51">
        <f t="shared" ref="C74:K74" si="13">SUM(C66:C73)</f>
        <v>-10821.78492023519</v>
      </c>
      <c r="D74" s="51">
        <f t="shared" si="13"/>
        <v>11241.969568375003</v>
      </c>
      <c r="E74" s="51">
        <f t="shared" si="13"/>
        <v>24694.787933385262</v>
      </c>
      <c r="F74" s="51">
        <f t="shared" si="13"/>
        <v>28268.150345854519</v>
      </c>
      <c r="G74" s="51">
        <f t="shared" si="13"/>
        <v>41166.258693267795</v>
      </c>
      <c r="H74" s="51">
        <f t="shared" si="13"/>
        <v>70426.043761991023</v>
      </c>
      <c r="I74" s="51">
        <f t="shared" si="13"/>
        <v>109516.80607231919</v>
      </c>
      <c r="J74" s="51">
        <f t="shared" si="13"/>
        <v>86994.039477069906</v>
      </c>
      <c r="K74" s="52">
        <f t="shared" si="13"/>
        <v>90904.970150380686</v>
      </c>
      <c r="L74" s="59">
        <f>SUM(L66:L73)</f>
        <v>948867.17697587656</v>
      </c>
    </row>
    <row r="75" spans="1:12" s="21" customFormat="1" x14ac:dyDescent="0.2">
      <c r="A75" s="29" t="s">
        <v>38</v>
      </c>
      <c r="B75" s="51">
        <f>B74</f>
        <v>-15589.530373830772</v>
      </c>
      <c r="C75" s="51">
        <f>C74+B75</f>
        <v>-26411.315294065964</v>
      </c>
      <c r="D75" s="51">
        <f t="shared" ref="D75:J75" si="14">D74+C75</f>
        <v>-15169.345725690961</v>
      </c>
      <c r="E75" s="51">
        <f t="shared" si="14"/>
        <v>9525.442207694301</v>
      </c>
      <c r="F75" s="51">
        <f t="shared" si="14"/>
        <v>37793.59255354882</v>
      </c>
      <c r="G75" s="51">
        <f t="shared" si="14"/>
        <v>78959.851246816615</v>
      </c>
      <c r="H75" s="51">
        <f t="shared" si="14"/>
        <v>149385.89500880765</v>
      </c>
      <c r="I75" s="51">
        <f t="shared" si="14"/>
        <v>258902.70108112684</v>
      </c>
      <c r="J75" s="51">
        <f t="shared" si="14"/>
        <v>345896.74055819673</v>
      </c>
      <c r="K75" s="52">
        <f>K74+J75</f>
        <v>436801.71070857742</v>
      </c>
      <c r="L75" s="59">
        <f>L74</f>
        <v>948867.17697587656</v>
      </c>
    </row>
    <row r="76" spans="1:12" x14ac:dyDescent="0.2">
      <c r="A76" s="10" t="s">
        <v>39</v>
      </c>
      <c r="B76" s="56">
        <v>1.1000000000000001</v>
      </c>
      <c r="C76" s="57">
        <v>1.2100000000000002</v>
      </c>
      <c r="D76" s="56">
        <v>1.3310000000000004</v>
      </c>
      <c r="E76" s="56">
        <v>1.4641000000000006</v>
      </c>
      <c r="F76" s="56">
        <v>1.6105100000000008</v>
      </c>
      <c r="G76" s="56">
        <v>1.7715610000000011</v>
      </c>
      <c r="H76" s="56">
        <v>1.9487171000000014</v>
      </c>
      <c r="I76" s="56">
        <v>2.1435888100000016</v>
      </c>
      <c r="J76" s="56">
        <v>2.3579476910000019</v>
      </c>
      <c r="K76" s="57">
        <v>2.5937424601000023</v>
      </c>
      <c r="L76" s="62"/>
    </row>
    <row r="77" spans="1:12" s="21" customFormat="1" x14ac:dyDescent="0.2">
      <c r="A77" s="22" t="s">
        <v>40</v>
      </c>
      <c r="B77" s="51">
        <f>IF(B74&lt;0,(B74-(-B74+B74/B76)),B74/B76)</f>
        <v>-17006.760407815389</v>
      </c>
      <c r="C77" s="51">
        <f>B77+IF(C74&lt;0,(C74-(-C74+C74/C76)),C74/C76)</f>
        <v>-29706.706347264953</v>
      </c>
      <c r="D77" s="51">
        <f t="shared" ref="D77:K77" si="15">C77+IF(D74&lt;0,(D74-(-D74+D74/D76)),D74/D76)</f>
        <v>-21260.448219259692</v>
      </c>
      <c r="E77" s="51">
        <f t="shared" si="15"/>
        <v>-4393.5757833705793</v>
      </c>
      <c r="F77" s="51">
        <f t="shared" si="15"/>
        <v>13158.721529812516</v>
      </c>
      <c r="G77" s="51">
        <f t="shared" si="15"/>
        <v>36396.001360011855</v>
      </c>
      <c r="H77" s="51">
        <f t="shared" si="15"/>
        <v>72535.697451348547</v>
      </c>
      <c r="I77" s="51">
        <f t="shared" si="15"/>
        <v>123626.09574108355</v>
      </c>
      <c r="J77" s="51">
        <f t="shared" si="15"/>
        <v>160520.0606959108</v>
      </c>
      <c r="K77" s="51">
        <f t="shared" si="15"/>
        <v>195567.86191318193</v>
      </c>
      <c r="L77" s="59">
        <v>344133.41232147923</v>
      </c>
    </row>
    <row r="78" spans="1:12" x14ac:dyDescent="0.2">
      <c r="A78" s="10" t="s">
        <v>41</v>
      </c>
      <c r="B78" s="33">
        <f>B77</f>
        <v>-17006.760407815389</v>
      </c>
      <c r="C78" s="33">
        <f t="shared" ref="C78:K78" si="16">C77</f>
        <v>-29706.706347264953</v>
      </c>
      <c r="D78" s="33">
        <f t="shared" si="16"/>
        <v>-21260.448219259692</v>
      </c>
      <c r="E78" s="33">
        <f t="shared" si="16"/>
        <v>-4393.5757833705793</v>
      </c>
      <c r="F78" s="33">
        <f t="shared" si="16"/>
        <v>13158.721529812516</v>
      </c>
      <c r="G78" s="33">
        <f t="shared" si="16"/>
        <v>36396.001360011855</v>
      </c>
      <c r="H78" s="33">
        <f t="shared" si="16"/>
        <v>72535.697451348547</v>
      </c>
      <c r="I78" s="33">
        <f t="shared" si="16"/>
        <v>123626.09574108355</v>
      </c>
      <c r="J78" s="33">
        <f t="shared" si="16"/>
        <v>160520.0606959108</v>
      </c>
      <c r="K78" s="48">
        <f t="shared" si="16"/>
        <v>195567.86191318193</v>
      </c>
      <c r="L78" s="60">
        <f>L77</f>
        <v>344133.41232147923</v>
      </c>
    </row>
    <row r="79" spans="1:12" s="21" customFormat="1" x14ac:dyDescent="0.2">
      <c r="A79" s="29" t="s">
        <v>42</v>
      </c>
      <c r="B79" s="23"/>
      <c r="C79" s="40"/>
      <c r="D79" s="23"/>
      <c r="E79" s="23"/>
      <c r="F79" s="23"/>
      <c r="G79" s="23"/>
      <c r="H79" s="23"/>
      <c r="I79" s="23"/>
      <c r="J79" s="23"/>
      <c r="K79" s="69"/>
      <c r="L79" s="82">
        <v>0.73199999999999998</v>
      </c>
    </row>
    <row r="80" spans="1:12" s="21" customFormat="1" x14ac:dyDescent="0.2">
      <c r="A80" s="29" t="s">
        <v>43</v>
      </c>
      <c r="B80" s="75"/>
      <c r="C80" s="75"/>
      <c r="D80" s="75"/>
      <c r="E80" s="75"/>
      <c r="F80" s="75"/>
      <c r="G80" s="75"/>
      <c r="H80" s="75"/>
      <c r="I80" s="75"/>
      <c r="J80" s="75"/>
      <c r="K80" s="76"/>
      <c r="L80" s="83">
        <v>3.61</v>
      </c>
    </row>
    <row r="81" spans="1:12" s="21" customFormat="1" ht="13.5" thickBot="1" x14ac:dyDescent="0.25">
      <c r="A81" s="30" t="s">
        <v>44</v>
      </c>
      <c r="B81" s="27"/>
      <c r="C81" s="39"/>
      <c r="D81" s="27"/>
      <c r="E81" s="27"/>
      <c r="F81" s="27"/>
      <c r="G81" s="27"/>
      <c r="H81" s="27"/>
      <c r="I81" s="27"/>
      <c r="J81" s="27"/>
      <c r="K81" s="70"/>
      <c r="L81" s="84">
        <v>4.25</v>
      </c>
    </row>
    <row r="83" spans="1:12" x14ac:dyDescent="0.2">
      <c r="A83" s="3" t="s">
        <v>45</v>
      </c>
      <c r="B83" s="58"/>
    </row>
    <row r="84" spans="1:12" x14ac:dyDescent="0.2">
      <c r="A84" s="3" t="s">
        <v>59</v>
      </c>
    </row>
    <row r="85" spans="1:12" x14ac:dyDescent="0.2">
      <c r="A85" s="3" t="s">
        <v>57</v>
      </c>
    </row>
    <row r="86" spans="1:12" x14ac:dyDescent="0.2">
      <c r="A86" s="3" t="s">
        <v>58</v>
      </c>
    </row>
    <row r="87" spans="1:12" x14ac:dyDescent="0.2">
      <c r="A87" s="3" t="s">
        <v>48</v>
      </c>
    </row>
  </sheetData>
  <mergeCells count="1">
    <mergeCell ref="A6:L6"/>
  </mergeCells>
  <pageMargins left="0.78740157480314965" right="0.19685039370078741" top="0.59055118110236227" bottom="0.19685039370078741" header="0.31496062992125984" footer="0.31496062992125984"/>
  <pageSetup paperSize="9" scale="2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PRJ_Step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Н. Кашурников</dc:creator>
  <cp:lastModifiedBy>Александр Н. Кашурников</cp:lastModifiedBy>
  <cp:lastPrinted>2022-10-25T06:52:58Z</cp:lastPrinted>
  <dcterms:created xsi:type="dcterms:W3CDTF">2015-11-09T00:21:01Z</dcterms:created>
  <dcterms:modified xsi:type="dcterms:W3CDTF">2022-11-16T08:37:29Z</dcterms:modified>
</cp:coreProperties>
</file>