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960" windowWidth="14055" windowHeight="8730"/>
  </bookViews>
  <sheets>
    <sheet name="фин план" sheetId="1" r:id="rId1"/>
  </sheets>
  <definedNames>
    <definedName name="Z_A89E60AC_3467_45A7_8AD6_1B29F6F985F4_.wvu.PrintTitles" localSheetId="0" hidden="1">'фин план'!$16:$18</definedName>
    <definedName name="_xlnm.Print_Titles" localSheetId="0">'фин план'!$16:$18</definedName>
  </definedNames>
  <calcPr calcId="145621"/>
  <customWorkbookViews>
    <customWorkbookView name="Эдуард Линхоев - Личное представление" guid="{4967B4D3-2148-4EC9-AC6A-2464C239F7B5}" mergeInterval="0" personalView="1" maximized="1" windowWidth="1916" windowHeight="855" activeSheetId="1"/>
    <customWorkbookView name="Елена Викторовна Савельева - Личное представление" guid="{A89E60AC-3467-45A7-8AD6-1B29F6F985F4}" mergeInterval="0" personalView="1" maximized="1" windowWidth="1916" windowHeight="759" activeSheetId="1"/>
  </customWorkbookViews>
</workbook>
</file>

<file path=xl/calcChain.xml><?xml version="1.0" encoding="utf-8"?>
<calcChain xmlns="http://schemas.openxmlformats.org/spreadsheetml/2006/main">
  <c r="Q366" i="1" l="1"/>
  <c r="O366" i="1"/>
  <c r="M366" i="1"/>
  <c r="M300" i="1"/>
  <c r="M290" i="1"/>
  <c r="M278" i="1"/>
  <c r="M269" i="1"/>
  <c r="M268" i="1"/>
  <c r="M238" i="1"/>
  <c r="M234" i="1"/>
  <c r="M231" i="1"/>
  <c r="M199" i="1"/>
  <c r="M130" i="1"/>
  <c r="M73" i="1"/>
  <c r="M105" i="1"/>
  <c r="M99" i="1"/>
  <c r="M69" i="1"/>
  <c r="K300" i="1" l="1"/>
  <c r="K278" i="1"/>
  <c r="K269" i="1"/>
  <c r="K238" i="1"/>
  <c r="K231" i="1"/>
  <c r="K199" i="1"/>
  <c r="K130" i="1" l="1"/>
  <c r="K73" i="1"/>
  <c r="K105" i="1"/>
  <c r="K99" i="1" l="1"/>
  <c r="K69" i="1"/>
  <c r="N212" i="1" l="1"/>
  <c r="S367" i="1" l="1"/>
  <c r="R367" i="1"/>
  <c r="Q367" i="1"/>
  <c r="P367" i="1"/>
  <c r="O367" i="1"/>
  <c r="N367" i="1"/>
  <c r="M367" i="1"/>
  <c r="L367" i="1"/>
  <c r="K367" i="1"/>
  <c r="J367" i="1"/>
  <c r="I367" i="1"/>
  <c r="S447" i="1" l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49" i="1"/>
  <c r="S352" i="1"/>
  <c r="S364" i="1"/>
  <c r="S363" i="1"/>
  <c r="S362" i="1"/>
  <c r="S361" i="1"/>
  <c r="S360" i="1"/>
  <c r="S359" i="1"/>
  <c r="S358" i="1"/>
  <c r="S357" i="1"/>
  <c r="S356" i="1"/>
  <c r="S355" i="1"/>
  <c r="S354" i="1"/>
  <c r="S351" i="1"/>
  <c r="S350" i="1"/>
  <c r="S347" i="1"/>
  <c r="S346" i="1"/>
  <c r="S345" i="1"/>
  <c r="S344" i="1"/>
  <c r="S343" i="1"/>
  <c r="S342" i="1"/>
  <c r="S341" i="1"/>
  <c r="S340" i="1"/>
  <c r="S339" i="1"/>
  <c r="S338" i="1"/>
  <c r="S337" i="1"/>
  <c r="S335" i="1"/>
  <c r="S334" i="1"/>
  <c r="S333" i="1"/>
  <c r="S331" i="1"/>
  <c r="S330" i="1"/>
  <c r="S328" i="1"/>
  <c r="S327" i="1"/>
  <c r="S326" i="1"/>
  <c r="S324" i="1"/>
  <c r="S323" i="1"/>
  <c r="S321" i="1"/>
  <c r="S320" i="1"/>
  <c r="S319" i="1"/>
  <c r="S318" i="1"/>
  <c r="S317" i="1"/>
  <c r="S314" i="1"/>
  <c r="S313" i="1"/>
  <c r="S312" i="1"/>
  <c r="S311" i="1"/>
  <c r="S309" i="1"/>
  <c r="S308" i="1"/>
  <c r="S307" i="1"/>
  <c r="S306" i="1"/>
  <c r="S305" i="1"/>
  <c r="S304" i="1"/>
  <c r="S303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2" i="1"/>
  <c r="S281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0" i="1"/>
  <c r="S248" i="1"/>
  <c r="S246" i="1"/>
  <c r="S245" i="1"/>
  <c r="S244" i="1"/>
  <c r="S242" i="1"/>
  <c r="S241" i="1"/>
  <c r="S240" i="1"/>
  <c r="S238" i="1"/>
  <c r="S237" i="1"/>
  <c r="S236" i="1"/>
  <c r="S235" i="1"/>
  <c r="S234" i="1"/>
  <c r="S231" i="1"/>
  <c r="S230" i="1"/>
  <c r="S229" i="1"/>
  <c r="S228" i="1"/>
  <c r="S227" i="1"/>
  <c r="S226" i="1"/>
  <c r="S225" i="1"/>
  <c r="S224" i="1"/>
  <c r="S223" i="1"/>
  <c r="S222" i="1"/>
  <c r="S220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3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1" i="1"/>
  <c r="S160" i="1"/>
  <c r="S159" i="1"/>
  <c r="S158" i="1"/>
  <c r="S156" i="1"/>
  <c r="S155" i="1"/>
  <c r="S154" i="1"/>
  <c r="S153" i="1"/>
  <c r="S152" i="1"/>
  <c r="S151" i="1"/>
  <c r="S149" i="1"/>
  <c r="S148" i="1"/>
  <c r="S147" i="1"/>
  <c r="S146" i="1"/>
  <c r="S144" i="1"/>
  <c r="S143" i="1"/>
  <c r="S142" i="1"/>
  <c r="S141" i="1"/>
  <c r="S140" i="1"/>
  <c r="S139" i="1"/>
  <c r="S138" i="1"/>
  <c r="S137" i="1"/>
  <c r="S134" i="1"/>
  <c r="S133" i="1"/>
  <c r="S132" i="1"/>
  <c r="S131" i="1"/>
  <c r="S129" i="1"/>
  <c r="S128" i="1"/>
  <c r="S127" i="1"/>
  <c r="S126" i="1"/>
  <c r="S125" i="1"/>
  <c r="S124" i="1"/>
  <c r="S123" i="1"/>
  <c r="S122" i="1"/>
  <c r="S119" i="1"/>
  <c r="S118" i="1"/>
  <c r="S117" i="1"/>
  <c r="S116" i="1"/>
  <c r="S114" i="1"/>
  <c r="S113" i="1"/>
  <c r="S112" i="1"/>
  <c r="S111" i="1"/>
  <c r="S110" i="1"/>
  <c r="S109" i="1"/>
  <c r="S108" i="1"/>
  <c r="S107" i="1"/>
  <c r="S105" i="1"/>
  <c r="S104" i="1"/>
  <c r="S103" i="1"/>
  <c r="S102" i="1"/>
  <c r="S101" i="1"/>
  <c r="S99" i="1"/>
  <c r="S98" i="1"/>
  <c r="S97" i="1"/>
  <c r="S96" i="1"/>
  <c r="S95" i="1"/>
  <c r="S91" i="1"/>
  <c r="S90" i="1"/>
  <c r="S89" i="1"/>
  <c r="S88" i="1"/>
  <c r="S86" i="1"/>
  <c r="S85" i="1"/>
  <c r="S84" i="1"/>
  <c r="S83" i="1"/>
  <c r="S82" i="1"/>
  <c r="S81" i="1"/>
  <c r="S80" i="1"/>
  <c r="S79" i="1"/>
  <c r="S77" i="1"/>
  <c r="S76" i="1"/>
  <c r="S75" i="1"/>
  <c r="S73" i="1"/>
  <c r="S72" i="1"/>
  <c r="S71" i="1"/>
  <c r="S69" i="1"/>
  <c r="S68" i="1"/>
  <c r="S66" i="1"/>
  <c r="S65" i="1"/>
  <c r="S64" i="1"/>
  <c r="S63" i="1"/>
  <c r="S62" i="1"/>
  <c r="S61" i="1"/>
  <c r="S60" i="1"/>
  <c r="S58" i="1"/>
  <c r="S57" i="1"/>
  <c r="S56" i="1"/>
  <c r="S55" i="1"/>
  <c r="S54" i="1"/>
  <c r="S51" i="1"/>
  <c r="S49" i="1"/>
  <c r="S48" i="1"/>
  <c r="S47" i="1"/>
  <c r="S46" i="1"/>
  <c r="S45" i="1"/>
  <c r="S43" i="1"/>
  <c r="S42" i="1"/>
  <c r="S41" i="1"/>
  <c r="S40" i="1"/>
  <c r="S39" i="1"/>
  <c r="S38" i="1"/>
  <c r="S37" i="1"/>
  <c r="S36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P212" i="1"/>
  <c r="L212" i="1"/>
  <c r="R241" i="1"/>
  <c r="L410" i="1" l="1"/>
  <c r="I396" i="1"/>
  <c r="P366" i="1" l="1"/>
  <c r="N366" i="1"/>
  <c r="L366" i="1"/>
  <c r="K366" i="1"/>
  <c r="J366" i="1"/>
  <c r="I366" i="1"/>
  <c r="R248" i="1" l="1"/>
  <c r="R364" i="1"/>
  <c r="L59" i="1"/>
  <c r="N238" i="1"/>
  <c r="P238" i="1" s="1"/>
  <c r="L238" i="1"/>
  <c r="Q135" i="1"/>
  <c r="Q130" i="1"/>
  <c r="J68" i="1" l="1"/>
  <c r="K53" i="1" l="1"/>
  <c r="J310" i="1" l="1"/>
  <c r="I310" i="1"/>
  <c r="J300" i="1"/>
  <c r="J292" i="1"/>
  <c r="J291" i="1"/>
  <c r="J290" i="1"/>
  <c r="J284" i="1"/>
  <c r="J268" i="1"/>
  <c r="J278" i="1"/>
  <c r="J269" i="1"/>
  <c r="J238" i="1" l="1"/>
  <c r="J234" i="1"/>
  <c r="J231" i="1"/>
  <c r="J222" i="1"/>
  <c r="J212" i="1"/>
  <c r="J201" i="1"/>
  <c r="J199" i="1"/>
  <c r="J197" i="1"/>
  <c r="J196" i="1"/>
  <c r="J195" i="1"/>
  <c r="J193" i="1"/>
  <c r="J192" i="1"/>
  <c r="J191" i="1"/>
  <c r="J189" i="1"/>
  <c r="J186" i="1"/>
  <c r="J185" i="1"/>
  <c r="J173" i="1"/>
  <c r="J181" i="1"/>
  <c r="J150" i="1" l="1"/>
  <c r="J130" i="1"/>
  <c r="J135" i="1"/>
  <c r="J105" i="1"/>
  <c r="J104" i="1"/>
  <c r="J103" i="1"/>
  <c r="J102" i="1"/>
  <c r="J101" i="1"/>
  <c r="J99" i="1"/>
  <c r="J98" i="1" l="1"/>
  <c r="J97" i="1"/>
  <c r="J96" i="1"/>
  <c r="J49" i="1"/>
  <c r="J92" i="1"/>
  <c r="J76" i="1"/>
  <c r="J72" i="1" l="1"/>
  <c r="J69" i="1"/>
  <c r="J66" i="1" l="1"/>
  <c r="J65" i="1"/>
  <c r="J64" i="1"/>
  <c r="J63" i="1"/>
  <c r="J61" i="1"/>
  <c r="J57" i="1"/>
  <c r="J55" i="1"/>
  <c r="J29" i="1"/>
  <c r="J302" i="1" l="1"/>
  <c r="I302" i="1"/>
  <c r="I280" i="1"/>
  <c r="I300" i="1"/>
  <c r="I301" i="1"/>
  <c r="I294" i="1"/>
  <c r="I292" i="1"/>
  <c r="I291" i="1"/>
  <c r="I290" i="1"/>
  <c r="I284" i="1"/>
  <c r="I268" i="1"/>
  <c r="I278" i="1"/>
  <c r="I269" i="1"/>
  <c r="I249" i="1" l="1"/>
  <c r="I248" i="1"/>
  <c r="I238" i="1"/>
  <c r="I234" i="1"/>
  <c r="I231" i="1"/>
  <c r="I222" i="1"/>
  <c r="I212" i="1"/>
  <c r="I199" i="1" l="1"/>
  <c r="I197" i="1"/>
  <c r="I189" i="1"/>
  <c r="I196" i="1"/>
  <c r="I195" i="1"/>
  <c r="I194" i="1"/>
  <c r="I193" i="1"/>
  <c r="I192" i="1"/>
  <c r="I191" i="1"/>
  <c r="I186" i="1"/>
  <c r="I185" i="1"/>
  <c r="I173" i="1" l="1"/>
  <c r="R447" i="1" l="1"/>
  <c r="R446" i="1"/>
  <c r="R445" i="1"/>
  <c r="R444" i="1"/>
  <c r="R443" i="1"/>
  <c r="R442" i="1"/>
  <c r="R441" i="1"/>
  <c r="Q440" i="1"/>
  <c r="P440" i="1"/>
  <c r="O440" i="1"/>
  <c r="N440" i="1"/>
  <c r="M440" i="1"/>
  <c r="L440" i="1"/>
  <c r="K440" i="1"/>
  <c r="J440" i="1"/>
  <c r="I440" i="1"/>
  <c r="R439" i="1"/>
  <c r="R438" i="1"/>
  <c r="R437" i="1"/>
  <c r="R436" i="1"/>
  <c r="R435" i="1"/>
  <c r="R434" i="1"/>
  <c r="R433" i="1"/>
  <c r="Q432" i="1"/>
  <c r="P432" i="1"/>
  <c r="P427" i="1" s="1"/>
  <c r="O432" i="1"/>
  <c r="N432" i="1"/>
  <c r="N427" i="1" s="1"/>
  <c r="M432" i="1"/>
  <c r="L432" i="1"/>
  <c r="L427" i="1" s="1"/>
  <c r="K432" i="1"/>
  <c r="J432" i="1"/>
  <c r="I432" i="1"/>
  <c r="R431" i="1"/>
  <c r="R430" i="1"/>
  <c r="R429" i="1"/>
  <c r="R428" i="1"/>
  <c r="Q427" i="1"/>
  <c r="O427" i="1"/>
  <c r="M427" i="1"/>
  <c r="K427" i="1"/>
  <c r="I427" i="1"/>
  <c r="R426" i="1"/>
  <c r="R425" i="1"/>
  <c r="Q424" i="1"/>
  <c r="P424" i="1"/>
  <c r="O424" i="1"/>
  <c r="N424" i="1"/>
  <c r="M424" i="1"/>
  <c r="L424" i="1"/>
  <c r="K424" i="1"/>
  <c r="J424" i="1"/>
  <c r="R424" i="1" s="1"/>
  <c r="I424" i="1"/>
  <c r="R423" i="1"/>
  <c r="R422" i="1"/>
  <c r="R421" i="1"/>
  <c r="Q420" i="1"/>
  <c r="Q410" i="1" s="1"/>
  <c r="P420" i="1"/>
  <c r="O420" i="1"/>
  <c r="N420" i="1"/>
  <c r="M420" i="1"/>
  <c r="M410" i="1" s="1"/>
  <c r="L420" i="1"/>
  <c r="K420" i="1"/>
  <c r="K410" i="1" s="1"/>
  <c r="J420" i="1"/>
  <c r="I420" i="1"/>
  <c r="R419" i="1"/>
  <c r="R417" i="1"/>
  <c r="R416" i="1"/>
  <c r="R415" i="1"/>
  <c r="R414" i="1"/>
  <c r="R413" i="1"/>
  <c r="R412" i="1"/>
  <c r="R411" i="1"/>
  <c r="O410" i="1"/>
  <c r="J410" i="1"/>
  <c r="R409" i="1"/>
  <c r="R408" i="1"/>
  <c r="R407" i="1"/>
  <c r="Q406" i="1"/>
  <c r="Q396" i="1" s="1"/>
  <c r="Q395" i="1" s="1"/>
  <c r="P406" i="1"/>
  <c r="O406" i="1"/>
  <c r="O396" i="1" s="1"/>
  <c r="N406" i="1"/>
  <c r="M406" i="1"/>
  <c r="M396" i="1" s="1"/>
  <c r="L406" i="1"/>
  <c r="K406" i="1"/>
  <c r="K396" i="1" s="1"/>
  <c r="J406" i="1"/>
  <c r="I406" i="1"/>
  <c r="R405" i="1"/>
  <c r="R404" i="1"/>
  <c r="R403" i="1"/>
  <c r="R402" i="1"/>
  <c r="R401" i="1"/>
  <c r="R400" i="1"/>
  <c r="R399" i="1"/>
  <c r="R398" i="1"/>
  <c r="Q397" i="1"/>
  <c r="P397" i="1"/>
  <c r="P396" i="1" s="1"/>
  <c r="O397" i="1"/>
  <c r="N397" i="1"/>
  <c r="N396" i="1" s="1"/>
  <c r="M397" i="1"/>
  <c r="L397" i="1"/>
  <c r="L396" i="1" s="1"/>
  <c r="K397" i="1"/>
  <c r="J397" i="1"/>
  <c r="I397" i="1"/>
  <c r="R394" i="1"/>
  <c r="R393" i="1"/>
  <c r="R392" i="1"/>
  <c r="R391" i="1"/>
  <c r="Q390" i="1"/>
  <c r="P390" i="1"/>
  <c r="O390" i="1"/>
  <c r="N390" i="1"/>
  <c r="M390" i="1"/>
  <c r="L390" i="1"/>
  <c r="K390" i="1"/>
  <c r="J390" i="1"/>
  <c r="I390" i="1"/>
  <c r="R389" i="1"/>
  <c r="R388" i="1"/>
  <c r="Q387" i="1"/>
  <c r="P387" i="1"/>
  <c r="O387" i="1"/>
  <c r="N387" i="1"/>
  <c r="M387" i="1"/>
  <c r="L387" i="1"/>
  <c r="K387" i="1"/>
  <c r="J387" i="1"/>
  <c r="I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Q373" i="1"/>
  <c r="Q372" i="1" s="1"/>
  <c r="P373" i="1"/>
  <c r="O373" i="1"/>
  <c r="O372" i="1" s="1"/>
  <c r="N373" i="1"/>
  <c r="N372" i="1" s="1"/>
  <c r="N371" i="1" s="1"/>
  <c r="M373" i="1"/>
  <c r="M372" i="1" s="1"/>
  <c r="S372" i="1" s="1"/>
  <c r="L373" i="1"/>
  <c r="L372" i="1" s="1"/>
  <c r="L371" i="1" s="1"/>
  <c r="K373" i="1"/>
  <c r="K372" i="1" s="1"/>
  <c r="J373" i="1"/>
  <c r="I373" i="1"/>
  <c r="P372" i="1"/>
  <c r="P371" i="1" s="1"/>
  <c r="R363" i="1"/>
  <c r="R362" i="1"/>
  <c r="R361" i="1"/>
  <c r="R360" i="1"/>
  <c r="R359" i="1"/>
  <c r="R358" i="1"/>
  <c r="R357" i="1"/>
  <c r="R356" i="1"/>
  <c r="R355" i="1"/>
  <c r="R354" i="1"/>
  <c r="R352" i="1"/>
  <c r="R351" i="1"/>
  <c r="R350" i="1"/>
  <c r="R349" i="1"/>
  <c r="R347" i="1"/>
  <c r="R346" i="1"/>
  <c r="R345" i="1"/>
  <c r="R344" i="1"/>
  <c r="R343" i="1"/>
  <c r="R342" i="1"/>
  <c r="R341" i="1"/>
  <c r="R340" i="1"/>
  <c r="R339" i="1"/>
  <c r="R338" i="1"/>
  <c r="R337" i="1"/>
  <c r="R335" i="1"/>
  <c r="R334" i="1"/>
  <c r="R333" i="1"/>
  <c r="R331" i="1"/>
  <c r="R330" i="1"/>
  <c r="R328" i="1"/>
  <c r="R327" i="1"/>
  <c r="R326" i="1"/>
  <c r="R324" i="1"/>
  <c r="R323" i="1"/>
  <c r="R321" i="1"/>
  <c r="R320" i="1"/>
  <c r="R319" i="1"/>
  <c r="R318" i="1"/>
  <c r="R317" i="1"/>
  <c r="R314" i="1"/>
  <c r="R313" i="1"/>
  <c r="R312" i="1"/>
  <c r="R311" i="1"/>
  <c r="R309" i="1"/>
  <c r="R308" i="1"/>
  <c r="R307" i="1"/>
  <c r="R306" i="1"/>
  <c r="R305" i="1"/>
  <c r="R304" i="1"/>
  <c r="R303" i="1"/>
  <c r="R301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Q283" i="1"/>
  <c r="Q280" i="1" s="1"/>
  <c r="P283" i="1"/>
  <c r="P280" i="1" s="1"/>
  <c r="O283" i="1"/>
  <c r="O280" i="1" s="1"/>
  <c r="N283" i="1"/>
  <c r="N280" i="1" s="1"/>
  <c r="M283" i="1"/>
  <c r="L283" i="1"/>
  <c r="L280" i="1" s="1"/>
  <c r="K283" i="1"/>
  <c r="J283" i="1"/>
  <c r="J280" i="1" s="1"/>
  <c r="I283" i="1"/>
  <c r="R282" i="1"/>
  <c r="R281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Q252" i="1"/>
  <c r="P252" i="1"/>
  <c r="P251" i="1" s="1"/>
  <c r="O252" i="1"/>
  <c r="N252" i="1"/>
  <c r="N251" i="1" s="1"/>
  <c r="M252" i="1"/>
  <c r="L252" i="1"/>
  <c r="L251" i="1" s="1"/>
  <c r="K252" i="1"/>
  <c r="J252" i="1"/>
  <c r="I252" i="1"/>
  <c r="Q251" i="1"/>
  <c r="O251" i="1"/>
  <c r="M251" i="1"/>
  <c r="S251" i="1" s="1"/>
  <c r="K251" i="1"/>
  <c r="I251" i="1"/>
  <c r="R250" i="1"/>
  <c r="R246" i="1"/>
  <c r="R245" i="1"/>
  <c r="R244" i="1"/>
  <c r="R242" i="1"/>
  <c r="R238" i="1"/>
  <c r="R237" i="1"/>
  <c r="R236" i="1"/>
  <c r="R235" i="1"/>
  <c r="R234" i="1"/>
  <c r="Q233" i="1"/>
  <c r="Q232" i="1" s="1"/>
  <c r="P233" i="1"/>
  <c r="P232" i="1" s="1"/>
  <c r="O233" i="1"/>
  <c r="O232" i="1" s="1"/>
  <c r="N233" i="1"/>
  <c r="N232" i="1" s="1"/>
  <c r="M233" i="1"/>
  <c r="L233" i="1"/>
  <c r="L232" i="1" s="1"/>
  <c r="K233" i="1"/>
  <c r="K232" i="1" s="1"/>
  <c r="J233" i="1"/>
  <c r="I233" i="1"/>
  <c r="I232" i="1" s="1"/>
  <c r="R231" i="1"/>
  <c r="R230" i="1"/>
  <c r="R229" i="1"/>
  <c r="R228" i="1"/>
  <c r="R227" i="1"/>
  <c r="Q226" i="1"/>
  <c r="P226" i="1"/>
  <c r="O226" i="1"/>
  <c r="N226" i="1"/>
  <c r="M226" i="1"/>
  <c r="L226" i="1"/>
  <c r="K226" i="1"/>
  <c r="J226" i="1"/>
  <c r="I226" i="1"/>
  <c r="R225" i="1"/>
  <c r="R224" i="1"/>
  <c r="R223" i="1"/>
  <c r="R222" i="1"/>
  <c r="Q221" i="1"/>
  <c r="P221" i="1"/>
  <c r="O221" i="1"/>
  <c r="N221" i="1"/>
  <c r="N219" i="1" s="1"/>
  <c r="M221" i="1"/>
  <c r="S221" i="1" s="1"/>
  <c r="L221" i="1"/>
  <c r="K221" i="1"/>
  <c r="J221" i="1"/>
  <c r="J219" i="1" s="1"/>
  <c r="I221" i="1"/>
  <c r="R220" i="1"/>
  <c r="P219" i="1"/>
  <c r="L219" i="1"/>
  <c r="L243" i="1" s="1"/>
  <c r="R218" i="1"/>
  <c r="R217" i="1"/>
  <c r="R216" i="1"/>
  <c r="R215" i="1"/>
  <c r="R214" i="1"/>
  <c r="R213" i="1"/>
  <c r="R211" i="1"/>
  <c r="R210" i="1"/>
  <c r="R209" i="1"/>
  <c r="Q208" i="1"/>
  <c r="Q207" i="1" s="1"/>
  <c r="P208" i="1"/>
  <c r="P207" i="1" s="1"/>
  <c r="O208" i="1"/>
  <c r="O207" i="1" s="1"/>
  <c r="M208" i="1"/>
  <c r="M207" i="1" s="1"/>
  <c r="L208" i="1"/>
  <c r="L207" i="1" s="1"/>
  <c r="K208" i="1"/>
  <c r="K207" i="1" s="1"/>
  <c r="J208" i="1"/>
  <c r="I208" i="1"/>
  <c r="I207" i="1" s="1"/>
  <c r="R206" i="1"/>
  <c r="R205" i="1"/>
  <c r="R204" i="1"/>
  <c r="Q203" i="1"/>
  <c r="P203" i="1"/>
  <c r="O203" i="1"/>
  <c r="N203" i="1"/>
  <c r="M203" i="1"/>
  <c r="L203" i="1"/>
  <c r="K203" i="1"/>
  <c r="J203" i="1"/>
  <c r="I203" i="1"/>
  <c r="R202" i="1"/>
  <c r="R201" i="1"/>
  <c r="Q200" i="1"/>
  <c r="P200" i="1"/>
  <c r="O200" i="1"/>
  <c r="N200" i="1"/>
  <c r="M200" i="1"/>
  <c r="L200" i="1"/>
  <c r="K200" i="1"/>
  <c r="J200" i="1"/>
  <c r="I200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Q184" i="1"/>
  <c r="Q182" i="1" s="1"/>
  <c r="P184" i="1"/>
  <c r="P182" i="1" s="1"/>
  <c r="O184" i="1"/>
  <c r="O182" i="1" s="1"/>
  <c r="N184" i="1"/>
  <c r="N182" i="1" s="1"/>
  <c r="M184" i="1"/>
  <c r="L184" i="1"/>
  <c r="L182" i="1" s="1"/>
  <c r="K184" i="1"/>
  <c r="J184" i="1"/>
  <c r="I184" i="1"/>
  <c r="I182" i="1" s="1"/>
  <c r="R183" i="1"/>
  <c r="J182" i="1"/>
  <c r="I181" i="1"/>
  <c r="R180" i="1"/>
  <c r="R179" i="1"/>
  <c r="Q178" i="1"/>
  <c r="P178" i="1"/>
  <c r="O178" i="1"/>
  <c r="N178" i="1"/>
  <c r="M178" i="1"/>
  <c r="L178" i="1"/>
  <c r="K178" i="1"/>
  <c r="J178" i="1"/>
  <c r="I178" i="1"/>
  <c r="R177" i="1"/>
  <c r="R176" i="1"/>
  <c r="Q175" i="1"/>
  <c r="P175" i="1"/>
  <c r="O175" i="1"/>
  <c r="N175" i="1"/>
  <c r="M175" i="1"/>
  <c r="L175" i="1"/>
  <c r="K175" i="1"/>
  <c r="J175" i="1"/>
  <c r="I175" i="1"/>
  <c r="R174" i="1"/>
  <c r="R172" i="1"/>
  <c r="R171" i="1"/>
  <c r="R170" i="1"/>
  <c r="R169" i="1"/>
  <c r="R168" i="1"/>
  <c r="R167" i="1"/>
  <c r="R166" i="1"/>
  <c r="Q165" i="1"/>
  <c r="P165" i="1"/>
  <c r="O165" i="1"/>
  <c r="N165" i="1"/>
  <c r="M165" i="1"/>
  <c r="L165" i="1"/>
  <c r="K165" i="1"/>
  <c r="J165" i="1"/>
  <c r="I165" i="1"/>
  <c r="R161" i="1"/>
  <c r="R160" i="1"/>
  <c r="R159" i="1"/>
  <c r="R158" i="1"/>
  <c r="R156" i="1"/>
  <c r="R155" i="1"/>
  <c r="R154" i="1"/>
  <c r="R153" i="1"/>
  <c r="R152" i="1"/>
  <c r="Q151" i="1"/>
  <c r="P151" i="1"/>
  <c r="O151" i="1"/>
  <c r="N151" i="1"/>
  <c r="M151" i="1"/>
  <c r="L151" i="1"/>
  <c r="K151" i="1"/>
  <c r="J151" i="1"/>
  <c r="I151" i="1"/>
  <c r="R134" i="1"/>
  <c r="R133" i="1"/>
  <c r="Q132" i="1"/>
  <c r="Q121" i="1" s="1"/>
  <c r="P132" i="1"/>
  <c r="O132" i="1"/>
  <c r="N132" i="1"/>
  <c r="M132" i="1"/>
  <c r="L132" i="1"/>
  <c r="K132" i="1"/>
  <c r="J132" i="1"/>
  <c r="I132" i="1"/>
  <c r="R131" i="1"/>
  <c r="R129" i="1"/>
  <c r="R128" i="1"/>
  <c r="R127" i="1"/>
  <c r="R126" i="1"/>
  <c r="R125" i="1"/>
  <c r="R124" i="1"/>
  <c r="R123" i="1"/>
  <c r="Q122" i="1"/>
  <c r="P122" i="1"/>
  <c r="O122" i="1"/>
  <c r="N122" i="1"/>
  <c r="M122" i="1"/>
  <c r="L122" i="1"/>
  <c r="K122" i="1"/>
  <c r="J122" i="1"/>
  <c r="I122" i="1"/>
  <c r="I120" i="1"/>
  <c r="M114" i="1"/>
  <c r="M144" i="1" s="1"/>
  <c r="I114" i="1"/>
  <c r="I144" i="1" s="1"/>
  <c r="Q112" i="1"/>
  <c r="Q142" i="1" s="1"/>
  <c r="I112" i="1"/>
  <c r="I142" i="1" s="1"/>
  <c r="M109" i="1"/>
  <c r="M139" i="1" s="1"/>
  <c r="I109" i="1"/>
  <c r="I104" i="1"/>
  <c r="R104" i="1" s="1"/>
  <c r="R103" i="1"/>
  <c r="I103" i="1"/>
  <c r="I102" i="1"/>
  <c r="R102" i="1" s="1"/>
  <c r="R101" i="1"/>
  <c r="I101" i="1"/>
  <c r="Q100" i="1"/>
  <c r="P100" i="1"/>
  <c r="O100" i="1"/>
  <c r="N100" i="1"/>
  <c r="M100" i="1"/>
  <c r="S100" i="1" s="1"/>
  <c r="L100" i="1"/>
  <c r="K100" i="1"/>
  <c r="J100" i="1"/>
  <c r="I98" i="1"/>
  <c r="R97" i="1"/>
  <c r="I97" i="1"/>
  <c r="I96" i="1"/>
  <c r="R95" i="1"/>
  <c r="Q94" i="1"/>
  <c r="Q93" i="1" s="1"/>
  <c r="P94" i="1"/>
  <c r="O94" i="1"/>
  <c r="O93" i="1" s="1"/>
  <c r="N94" i="1"/>
  <c r="M94" i="1"/>
  <c r="L94" i="1"/>
  <c r="K94" i="1"/>
  <c r="J94" i="1"/>
  <c r="Q92" i="1"/>
  <c r="Q120" i="1" s="1"/>
  <c r="Q150" i="1" s="1"/>
  <c r="P92" i="1"/>
  <c r="P120" i="1" s="1"/>
  <c r="O92" i="1"/>
  <c r="O120" i="1" s="1"/>
  <c r="N92" i="1"/>
  <c r="N120" i="1" s="1"/>
  <c r="M92" i="1"/>
  <c r="L92" i="1"/>
  <c r="L120" i="1" s="1"/>
  <c r="K92" i="1"/>
  <c r="K120" i="1" s="1"/>
  <c r="J120" i="1"/>
  <c r="I92" i="1"/>
  <c r="Q91" i="1"/>
  <c r="Q119" i="1" s="1"/>
  <c r="Q149" i="1" s="1"/>
  <c r="P91" i="1"/>
  <c r="P119" i="1" s="1"/>
  <c r="P149" i="1" s="1"/>
  <c r="O91" i="1"/>
  <c r="O119" i="1" s="1"/>
  <c r="O149" i="1" s="1"/>
  <c r="N91" i="1"/>
  <c r="N119" i="1" s="1"/>
  <c r="N149" i="1" s="1"/>
  <c r="M91" i="1"/>
  <c r="M119" i="1" s="1"/>
  <c r="M149" i="1" s="1"/>
  <c r="L91" i="1"/>
  <c r="L119" i="1" s="1"/>
  <c r="L149" i="1" s="1"/>
  <c r="K91" i="1"/>
  <c r="K119" i="1" s="1"/>
  <c r="K149" i="1" s="1"/>
  <c r="J91" i="1"/>
  <c r="J119" i="1" s="1"/>
  <c r="I91" i="1"/>
  <c r="I119" i="1" s="1"/>
  <c r="Q90" i="1"/>
  <c r="Q118" i="1" s="1"/>
  <c r="Q148" i="1" s="1"/>
  <c r="P90" i="1"/>
  <c r="P118" i="1" s="1"/>
  <c r="P148" i="1" s="1"/>
  <c r="O90" i="1"/>
  <c r="O118" i="1" s="1"/>
  <c r="O148" i="1" s="1"/>
  <c r="N90" i="1"/>
  <c r="N118" i="1" s="1"/>
  <c r="N148" i="1" s="1"/>
  <c r="M90" i="1"/>
  <c r="M118" i="1" s="1"/>
  <c r="M148" i="1" s="1"/>
  <c r="L90" i="1"/>
  <c r="L118" i="1" s="1"/>
  <c r="L148" i="1" s="1"/>
  <c r="K90" i="1"/>
  <c r="K118" i="1" s="1"/>
  <c r="K148" i="1" s="1"/>
  <c r="J90" i="1"/>
  <c r="J118" i="1" s="1"/>
  <c r="J148" i="1" s="1"/>
  <c r="I90" i="1"/>
  <c r="Q88" i="1"/>
  <c r="Q116" i="1" s="1"/>
  <c r="Q146" i="1" s="1"/>
  <c r="P88" i="1"/>
  <c r="P116" i="1" s="1"/>
  <c r="P146" i="1" s="1"/>
  <c r="O88" i="1"/>
  <c r="O116" i="1" s="1"/>
  <c r="O146" i="1" s="1"/>
  <c r="N88" i="1"/>
  <c r="N116" i="1" s="1"/>
  <c r="N146" i="1" s="1"/>
  <c r="M88" i="1"/>
  <c r="M116" i="1" s="1"/>
  <c r="M146" i="1" s="1"/>
  <c r="L88" i="1"/>
  <c r="L116" i="1" s="1"/>
  <c r="L146" i="1" s="1"/>
  <c r="K88" i="1"/>
  <c r="K116" i="1" s="1"/>
  <c r="K146" i="1" s="1"/>
  <c r="J88" i="1"/>
  <c r="J116" i="1" s="1"/>
  <c r="J146" i="1" s="1"/>
  <c r="I88" i="1"/>
  <c r="I116" i="1" s="1"/>
  <c r="Q86" i="1"/>
  <c r="Q114" i="1" s="1"/>
  <c r="Q144" i="1" s="1"/>
  <c r="P86" i="1"/>
  <c r="P114" i="1" s="1"/>
  <c r="P144" i="1" s="1"/>
  <c r="O86" i="1"/>
  <c r="O114" i="1" s="1"/>
  <c r="O144" i="1" s="1"/>
  <c r="N86" i="1"/>
  <c r="N114" i="1" s="1"/>
  <c r="N144" i="1" s="1"/>
  <c r="M86" i="1"/>
  <c r="L86" i="1"/>
  <c r="L114" i="1" s="1"/>
  <c r="L144" i="1" s="1"/>
  <c r="K86" i="1"/>
  <c r="K114" i="1" s="1"/>
  <c r="K144" i="1" s="1"/>
  <c r="J86" i="1"/>
  <c r="R86" i="1" s="1"/>
  <c r="I86" i="1"/>
  <c r="Q85" i="1"/>
  <c r="Q113" i="1" s="1"/>
  <c r="Q143" i="1" s="1"/>
  <c r="P85" i="1"/>
  <c r="P113" i="1" s="1"/>
  <c r="P143" i="1" s="1"/>
  <c r="O85" i="1"/>
  <c r="O113" i="1" s="1"/>
  <c r="O143" i="1" s="1"/>
  <c r="N85" i="1"/>
  <c r="N113" i="1" s="1"/>
  <c r="N143" i="1" s="1"/>
  <c r="M85" i="1"/>
  <c r="M113" i="1" s="1"/>
  <c r="M143" i="1" s="1"/>
  <c r="L85" i="1"/>
  <c r="L113" i="1" s="1"/>
  <c r="L143" i="1" s="1"/>
  <c r="K85" i="1"/>
  <c r="K113" i="1" s="1"/>
  <c r="K143" i="1" s="1"/>
  <c r="J85" i="1"/>
  <c r="J113" i="1" s="1"/>
  <c r="J143" i="1" s="1"/>
  <c r="I85" i="1"/>
  <c r="Q84" i="1"/>
  <c r="P84" i="1"/>
  <c r="P112" i="1" s="1"/>
  <c r="P142" i="1" s="1"/>
  <c r="O84" i="1"/>
  <c r="O112" i="1" s="1"/>
  <c r="O142" i="1" s="1"/>
  <c r="N84" i="1"/>
  <c r="N112" i="1" s="1"/>
  <c r="N142" i="1" s="1"/>
  <c r="M84" i="1"/>
  <c r="M112" i="1" s="1"/>
  <c r="M142" i="1" s="1"/>
  <c r="L84" i="1"/>
  <c r="L112" i="1" s="1"/>
  <c r="L142" i="1" s="1"/>
  <c r="K84" i="1"/>
  <c r="J84" i="1"/>
  <c r="J112" i="1" s="1"/>
  <c r="J142" i="1" s="1"/>
  <c r="I84" i="1"/>
  <c r="Q83" i="1"/>
  <c r="Q111" i="1" s="1"/>
  <c r="Q141" i="1" s="1"/>
  <c r="P83" i="1"/>
  <c r="P111" i="1" s="1"/>
  <c r="P141" i="1" s="1"/>
  <c r="O83" i="1"/>
  <c r="O111" i="1" s="1"/>
  <c r="O141" i="1" s="1"/>
  <c r="N83" i="1"/>
  <c r="N111" i="1" s="1"/>
  <c r="N141" i="1" s="1"/>
  <c r="M83" i="1"/>
  <c r="M111" i="1" s="1"/>
  <c r="M141" i="1" s="1"/>
  <c r="L83" i="1"/>
  <c r="L111" i="1" s="1"/>
  <c r="L141" i="1" s="1"/>
  <c r="K83" i="1"/>
  <c r="K111" i="1" s="1"/>
  <c r="K141" i="1" s="1"/>
  <c r="J83" i="1"/>
  <c r="R83" i="1" s="1"/>
  <c r="I83" i="1"/>
  <c r="I111" i="1" s="1"/>
  <c r="I141" i="1" s="1"/>
  <c r="Q82" i="1"/>
  <c r="Q110" i="1" s="1"/>
  <c r="Q140" i="1" s="1"/>
  <c r="P82" i="1"/>
  <c r="P110" i="1" s="1"/>
  <c r="P140" i="1" s="1"/>
  <c r="O82" i="1"/>
  <c r="O110" i="1" s="1"/>
  <c r="O140" i="1" s="1"/>
  <c r="N82" i="1"/>
  <c r="N110" i="1" s="1"/>
  <c r="N140" i="1" s="1"/>
  <c r="M82" i="1"/>
  <c r="M110" i="1" s="1"/>
  <c r="M140" i="1" s="1"/>
  <c r="L82" i="1"/>
  <c r="L110" i="1" s="1"/>
  <c r="L140" i="1" s="1"/>
  <c r="K82" i="1"/>
  <c r="K110" i="1" s="1"/>
  <c r="K140" i="1" s="1"/>
  <c r="J82" i="1"/>
  <c r="J110" i="1" s="1"/>
  <c r="J140" i="1" s="1"/>
  <c r="I82" i="1"/>
  <c r="Q81" i="1"/>
  <c r="Q109" i="1" s="1"/>
  <c r="Q139" i="1" s="1"/>
  <c r="P81" i="1"/>
  <c r="P109" i="1" s="1"/>
  <c r="P139" i="1" s="1"/>
  <c r="O81" i="1"/>
  <c r="O109" i="1" s="1"/>
  <c r="O139" i="1" s="1"/>
  <c r="N81" i="1"/>
  <c r="N109" i="1" s="1"/>
  <c r="N139" i="1" s="1"/>
  <c r="M81" i="1"/>
  <c r="L81" i="1"/>
  <c r="L109" i="1" s="1"/>
  <c r="L139" i="1" s="1"/>
  <c r="K81" i="1"/>
  <c r="J81" i="1"/>
  <c r="J109" i="1" s="1"/>
  <c r="J139" i="1" s="1"/>
  <c r="I81" i="1"/>
  <c r="Q80" i="1"/>
  <c r="Q108" i="1" s="1"/>
  <c r="Q138" i="1" s="1"/>
  <c r="P80" i="1"/>
  <c r="P108" i="1" s="1"/>
  <c r="P138" i="1" s="1"/>
  <c r="O80" i="1"/>
  <c r="O108" i="1" s="1"/>
  <c r="O138" i="1" s="1"/>
  <c r="N80" i="1"/>
  <c r="N108" i="1" s="1"/>
  <c r="N138" i="1" s="1"/>
  <c r="M80" i="1"/>
  <c r="M108" i="1" s="1"/>
  <c r="M138" i="1" s="1"/>
  <c r="L80" i="1"/>
  <c r="L108" i="1" s="1"/>
  <c r="L138" i="1" s="1"/>
  <c r="K80" i="1"/>
  <c r="K108" i="1" s="1"/>
  <c r="K138" i="1" s="1"/>
  <c r="J80" i="1"/>
  <c r="I80" i="1"/>
  <c r="I108" i="1" s="1"/>
  <c r="K79" i="1"/>
  <c r="K107" i="1" s="1"/>
  <c r="K137" i="1" s="1"/>
  <c r="R77" i="1"/>
  <c r="I76" i="1"/>
  <c r="I74" i="1" s="1"/>
  <c r="R75" i="1"/>
  <c r="Q74" i="1"/>
  <c r="P74" i="1"/>
  <c r="O74" i="1"/>
  <c r="N74" i="1"/>
  <c r="M74" i="1"/>
  <c r="S74" i="1" s="1"/>
  <c r="L74" i="1"/>
  <c r="K74" i="1"/>
  <c r="J74" i="1"/>
  <c r="I72" i="1"/>
  <c r="R71" i="1"/>
  <c r="Q70" i="1"/>
  <c r="P70" i="1"/>
  <c r="O70" i="1"/>
  <c r="N70" i="1"/>
  <c r="M70" i="1"/>
  <c r="S70" i="1" s="1"/>
  <c r="I68" i="1"/>
  <c r="I69" i="1" s="1"/>
  <c r="Q67" i="1"/>
  <c r="P67" i="1"/>
  <c r="O67" i="1"/>
  <c r="N67" i="1"/>
  <c r="M67" i="1"/>
  <c r="S67" i="1" s="1"/>
  <c r="J67" i="1"/>
  <c r="J73" i="1" s="1"/>
  <c r="L70" i="1" s="1"/>
  <c r="R66" i="1"/>
  <c r="I66" i="1"/>
  <c r="I65" i="1"/>
  <c r="I64" i="1"/>
  <c r="R64" i="1" s="1"/>
  <c r="R63" i="1"/>
  <c r="I63" i="1"/>
  <c r="R62" i="1"/>
  <c r="I61" i="1"/>
  <c r="R61" i="1" s="1"/>
  <c r="R60" i="1"/>
  <c r="Q59" i="1"/>
  <c r="P59" i="1"/>
  <c r="O59" i="1"/>
  <c r="N59" i="1"/>
  <c r="M59" i="1"/>
  <c r="S59" i="1" s="1"/>
  <c r="K59" i="1"/>
  <c r="J59" i="1"/>
  <c r="I59" i="1"/>
  <c r="R58" i="1"/>
  <c r="R57" i="1"/>
  <c r="I57" i="1"/>
  <c r="R56" i="1"/>
  <c r="R55" i="1"/>
  <c r="R54" i="1"/>
  <c r="Q53" i="1"/>
  <c r="Q52" i="1" s="1"/>
  <c r="Q50" i="1" s="1"/>
  <c r="P53" i="1"/>
  <c r="P52" i="1" s="1"/>
  <c r="P50" i="1" s="1"/>
  <c r="O53" i="1"/>
  <c r="O52" i="1" s="1"/>
  <c r="O50" i="1" s="1"/>
  <c r="N53" i="1"/>
  <c r="M53" i="1"/>
  <c r="L53" i="1"/>
  <c r="L52" i="1" s="1"/>
  <c r="L50" i="1" s="1"/>
  <c r="J53" i="1"/>
  <c r="I53" i="1"/>
  <c r="I52" i="1" s="1"/>
  <c r="N52" i="1"/>
  <c r="N50" i="1" s="1"/>
  <c r="J52" i="1"/>
  <c r="J50" i="1" s="1"/>
  <c r="R51" i="1"/>
  <c r="R49" i="1"/>
  <c r="R48" i="1"/>
  <c r="R47" i="1"/>
  <c r="Q46" i="1"/>
  <c r="P46" i="1"/>
  <c r="O46" i="1"/>
  <c r="N46" i="1"/>
  <c r="M46" i="1"/>
  <c r="L46" i="1"/>
  <c r="K46" i="1"/>
  <c r="J46" i="1"/>
  <c r="I46" i="1"/>
  <c r="R45" i="1"/>
  <c r="R43" i="1"/>
  <c r="R42" i="1"/>
  <c r="R41" i="1"/>
  <c r="R40" i="1"/>
  <c r="R39" i="1"/>
  <c r="R38" i="1"/>
  <c r="R37" i="1"/>
  <c r="Q36" i="1"/>
  <c r="P36" i="1"/>
  <c r="O36" i="1"/>
  <c r="N36" i="1"/>
  <c r="M36" i="1"/>
  <c r="L36" i="1"/>
  <c r="K36" i="1"/>
  <c r="J36" i="1"/>
  <c r="R36" i="1" s="1"/>
  <c r="I36" i="1"/>
  <c r="R34" i="1"/>
  <c r="R33" i="1"/>
  <c r="R32" i="1"/>
  <c r="Q31" i="1"/>
  <c r="P31" i="1"/>
  <c r="O31" i="1"/>
  <c r="N31" i="1"/>
  <c r="N89" i="1" s="1"/>
  <c r="N117" i="1" s="1"/>
  <c r="N147" i="1" s="1"/>
  <c r="M31" i="1"/>
  <c r="L31" i="1"/>
  <c r="K31" i="1"/>
  <c r="J31" i="1"/>
  <c r="J89" i="1" s="1"/>
  <c r="J117" i="1" s="1"/>
  <c r="J147" i="1" s="1"/>
  <c r="I31" i="1"/>
  <c r="I89" i="1" s="1"/>
  <c r="R30" i="1"/>
  <c r="R29" i="1"/>
  <c r="R28" i="1"/>
  <c r="R27" i="1"/>
  <c r="R26" i="1"/>
  <c r="R25" i="1"/>
  <c r="R24" i="1"/>
  <c r="R23" i="1"/>
  <c r="R22" i="1"/>
  <c r="R21" i="1" s="1"/>
  <c r="Q21" i="1"/>
  <c r="Q79" i="1" s="1"/>
  <c r="Q107" i="1" s="1"/>
  <c r="Q137" i="1" s="1"/>
  <c r="P21" i="1"/>
  <c r="O21" i="1"/>
  <c r="O79" i="1" s="1"/>
  <c r="O107" i="1" s="1"/>
  <c r="O137" i="1" s="1"/>
  <c r="N21" i="1"/>
  <c r="N79" i="1" s="1"/>
  <c r="N107" i="1" s="1"/>
  <c r="N137" i="1" s="1"/>
  <c r="M21" i="1"/>
  <c r="L21" i="1"/>
  <c r="K21" i="1"/>
  <c r="K20" i="1" s="1"/>
  <c r="J21" i="1"/>
  <c r="J79" i="1" s="1"/>
  <c r="J107" i="1" s="1"/>
  <c r="J137" i="1" s="1"/>
  <c r="I21" i="1"/>
  <c r="I20" i="1" s="1"/>
  <c r="Q20" i="1"/>
  <c r="Q310" i="1" s="1"/>
  <c r="Q302" i="1" s="1"/>
  <c r="M20" i="1"/>
  <c r="M280" i="1" l="1"/>
  <c r="S280" i="1" s="1"/>
  <c r="S283" i="1"/>
  <c r="M232" i="1"/>
  <c r="S232" i="1" s="1"/>
  <c r="S233" i="1"/>
  <c r="M182" i="1"/>
  <c r="S182" i="1" s="1"/>
  <c r="S184" i="1"/>
  <c r="M52" i="1"/>
  <c r="S53" i="1"/>
  <c r="M120" i="1"/>
  <c r="S120" i="1" s="1"/>
  <c r="S92" i="1"/>
  <c r="R300" i="1"/>
  <c r="K135" i="1"/>
  <c r="K150" i="1" s="1"/>
  <c r="M93" i="1"/>
  <c r="S93" i="1" s="1"/>
  <c r="S94" i="1"/>
  <c r="L395" i="1"/>
  <c r="O135" i="1"/>
  <c r="O150" i="1" s="1"/>
  <c r="L135" i="1"/>
  <c r="L150" i="1" s="1"/>
  <c r="P135" i="1"/>
  <c r="P150" i="1" s="1"/>
  <c r="N135" i="1"/>
  <c r="N150" i="1" s="1"/>
  <c r="P243" i="1"/>
  <c r="N243" i="1"/>
  <c r="N93" i="1"/>
  <c r="O35" i="1"/>
  <c r="O44" i="1" s="1"/>
  <c r="O87" i="1" s="1"/>
  <c r="O115" i="1" s="1"/>
  <c r="Q35" i="1"/>
  <c r="Q44" i="1" s="1"/>
  <c r="Q87" i="1" s="1"/>
  <c r="Q115" i="1" s="1"/>
  <c r="Q145" i="1" s="1"/>
  <c r="J70" i="1"/>
  <c r="J93" i="1"/>
  <c r="K93" i="1"/>
  <c r="J35" i="1"/>
  <c r="J44" i="1" s="1"/>
  <c r="J87" i="1" s="1"/>
  <c r="Q78" i="1"/>
  <c r="Q106" i="1" s="1"/>
  <c r="Q136" i="1" s="1"/>
  <c r="N20" i="1"/>
  <c r="N310" i="1" s="1"/>
  <c r="N302" i="1" s="1"/>
  <c r="K89" i="1"/>
  <c r="K117" i="1" s="1"/>
  <c r="K147" i="1" s="1"/>
  <c r="O89" i="1"/>
  <c r="O117" i="1" s="1"/>
  <c r="O147" i="1" s="1"/>
  <c r="P35" i="1"/>
  <c r="P44" i="1" s="1"/>
  <c r="P87" i="1" s="1"/>
  <c r="I164" i="1"/>
  <c r="M164" i="1"/>
  <c r="M310" i="1" s="1"/>
  <c r="Q164" i="1"/>
  <c r="Q239" i="1" s="1"/>
  <c r="J164" i="1"/>
  <c r="J239" i="1" s="1"/>
  <c r="N164" i="1"/>
  <c r="N239" i="1" s="1"/>
  <c r="O240" i="1"/>
  <c r="K219" i="1"/>
  <c r="K243" i="1" s="1"/>
  <c r="O219" i="1"/>
  <c r="O243" i="1" s="1"/>
  <c r="R373" i="1"/>
  <c r="M371" i="1"/>
  <c r="S371" i="1" s="1"/>
  <c r="Q371" i="1"/>
  <c r="L93" i="1"/>
  <c r="P93" i="1"/>
  <c r="L164" i="1"/>
  <c r="L239" i="1" s="1"/>
  <c r="P164" i="1"/>
  <c r="P239" i="1" s="1"/>
  <c r="R184" i="1"/>
  <c r="J207" i="1"/>
  <c r="J240" i="1" s="1"/>
  <c r="K395" i="1"/>
  <c r="O395" i="1"/>
  <c r="J20" i="1"/>
  <c r="M89" i="1"/>
  <c r="M117" i="1" s="1"/>
  <c r="M147" i="1" s="1"/>
  <c r="Q89" i="1"/>
  <c r="Q117" i="1" s="1"/>
  <c r="Q147" i="1" s="1"/>
  <c r="I79" i="1"/>
  <c r="I107" i="1" s="1"/>
  <c r="M79" i="1"/>
  <c r="M107" i="1" s="1"/>
  <c r="M137" i="1" s="1"/>
  <c r="L89" i="1"/>
  <c r="L117" i="1" s="1"/>
  <c r="L147" i="1" s="1"/>
  <c r="P89" i="1"/>
  <c r="P117" i="1" s="1"/>
  <c r="P147" i="1" s="1"/>
  <c r="R59" i="1"/>
  <c r="R74" i="1"/>
  <c r="M219" i="1"/>
  <c r="Q219" i="1"/>
  <c r="Q243" i="1" s="1"/>
  <c r="I99" i="1"/>
  <c r="R96" i="1"/>
  <c r="R132" i="1"/>
  <c r="L79" i="1"/>
  <c r="L107" i="1" s="1"/>
  <c r="L137" i="1" s="1"/>
  <c r="L20" i="1"/>
  <c r="L310" i="1" s="1"/>
  <c r="L302" i="1" s="1"/>
  <c r="N35" i="1"/>
  <c r="N44" i="1" s="1"/>
  <c r="N87" i="1" s="1"/>
  <c r="R53" i="1"/>
  <c r="R65" i="1"/>
  <c r="R69" i="1"/>
  <c r="R82" i="1"/>
  <c r="R85" i="1"/>
  <c r="I113" i="1"/>
  <c r="I118" i="1"/>
  <c r="R90" i="1"/>
  <c r="I138" i="1"/>
  <c r="I139" i="1"/>
  <c r="I110" i="1"/>
  <c r="I150" i="1"/>
  <c r="R120" i="1"/>
  <c r="I135" i="1"/>
  <c r="I239" i="1"/>
  <c r="P79" i="1"/>
  <c r="P107" i="1" s="1"/>
  <c r="P137" i="1" s="1"/>
  <c r="P20" i="1"/>
  <c r="J108" i="1"/>
  <c r="J138" i="1" s="1"/>
  <c r="R80" i="1"/>
  <c r="I117" i="1"/>
  <c r="I50" i="1"/>
  <c r="R72" i="1"/>
  <c r="K109" i="1"/>
  <c r="K139" i="1" s="1"/>
  <c r="R98" i="1"/>
  <c r="J121" i="1"/>
  <c r="R122" i="1"/>
  <c r="I105" i="1"/>
  <c r="I100" i="1" s="1"/>
  <c r="J111" i="1"/>
  <c r="R200" i="1"/>
  <c r="K240" i="1"/>
  <c r="J232" i="1"/>
  <c r="J243" i="1" s="1"/>
  <c r="R233" i="1"/>
  <c r="I410" i="1"/>
  <c r="I395" i="1" s="1"/>
  <c r="R420" i="1"/>
  <c r="O20" i="1"/>
  <c r="S20" i="1" s="1"/>
  <c r="R46" i="1"/>
  <c r="K52" i="1"/>
  <c r="R52" i="1" s="1"/>
  <c r="R76" i="1"/>
  <c r="R81" i="1"/>
  <c r="R84" i="1"/>
  <c r="R88" i="1"/>
  <c r="I149" i="1"/>
  <c r="R119" i="1"/>
  <c r="R92" i="1"/>
  <c r="K112" i="1"/>
  <c r="R112" i="1" s="1"/>
  <c r="J114" i="1"/>
  <c r="I146" i="1"/>
  <c r="R116" i="1"/>
  <c r="J149" i="1"/>
  <c r="R151" i="1"/>
  <c r="Q370" i="1"/>
  <c r="Q369" i="1" s="1"/>
  <c r="R31" i="1"/>
  <c r="I67" i="1"/>
  <c r="R91" i="1"/>
  <c r="R165" i="1"/>
  <c r="R178" i="1"/>
  <c r="R175" i="1"/>
  <c r="I219" i="1"/>
  <c r="R221" i="1"/>
  <c r="J251" i="1"/>
  <c r="R252" i="1"/>
  <c r="R387" i="1"/>
  <c r="R440" i="1"/>
  <c r="K164" i="1"/>
  <c r="O164" i="1"/>
  <c r="O239" i="1" s="1"/>
  <c r="R173" i="1"/>
  <c r="R181" i="1"/>
  <c r="L240" i="1"/>
  <c r="P240" i="1"/>
  <c r="R203" i="1"/>
  <c r="R283" i="1"/>
  <c r="K371" i="1"/>
  <c r="O371" i="1"/>
  <c r="R390" i="1"/>
  <c r="J396" i="1"/>
  <c r="J395" i="1" s="1"/>
  <c r="R397" i="1"/>
  <c r="J427" i="1"/>
  <c r="R432" i="1"/>
  <c r="I240" i="1"/>
  <c r="M240" i="1"/>
  <c r="Q240" i="1"/>
  <c r="R226" i="1"/>
  <c r="J372" i="1"/>
  <c r="J371" i="1" s="1"/>
  <c r="M395" i="1"/>
  <c r="R406" i="1"/>
  <c r="I372" i="1"/>
  <c r="M243" i="1" l="1"/>
  <c r="S243" i="1" s="1"/>
  <c r="S219" i="1"/>
  <c r="M239" i="1"/>
  <c r="S239" i="1" s="1"/>
  <c r="S164" i="1"/>
  <c r="M135" i="1"/>
  <c r="M150" i="1" s="1"/>
  <c r="S150" i="1" s="1"/>
  <c r="M50" i="1"/>
  <c r="S52" i="1"/>
  <c r="S135" i="1"/>
  <c r="K280" i="1"/>
  <c r="R280" i="1" s="1"/>
  <c r="M302" i="1"/>
  <c r="L370" i="1"/>
  <c r="L369" i="1" s="1"/>
  <c r="N410" i="1"/>
  <c r="N395" i="1" s="1"/>
  <c r="O130" i="1"/>
  <c r="O121" i="1" s="1"/>
  <c r="O247" i="1"/>
  <c r="O249" i="1" s="1"/>
  <c r="P247" i="1"/>
  <c r="P249" i="1" s="1"/>
  <c r="R249" i="1" s="1"/>
  <c r="L247" i="1"/>
  <c r="L249" i="1" s="1"/>
  <c r="Q247" i="1"/>
  <c r="Q249" i="1" s="1"/>
  <c r="N115" i="1"/>
  <c r="O78" i="1"/>
  <c r="O106" i="1" s="1"/>
  <c r="O157" i="1" s="1"/>
  <c r="O162" i="1" s="1"/>
  <c r="O310" i="1"/>
  <c r="O302" i="1" s="1"/>
  <c r="Q157" i="1"/>
  <c r="Q162" i="1" s="1"/>
  <c r="P78" i="1"/>
  <c r="P106" i="1" s="1"/>
  <c r="P157" i="1" s="1"/>
  <c r="P162" i="1" s="1"/>
  <c r="P310" i="1"/>
  <c r="P302" i="1" s="1"/>
  <c r="R199" i="1"/>
  <c r="K182" i="1"/>
  <c r="K310" i="1"/>
  <c r="K302" i="1" s="1"/>
  <c r="J115" i="1"/>
  <c r="J145" i="1" s="1"/>
  <c r="J78" i="1"/>
  <c r="J106" i="1" s="1"/>
  <c r="J157" i="1" s="1"/>
  <c r="J162" i="1" s="1"/>
  <c r="O370" i="1"/>
  <c r="O369" i="1" s="1"/>
  <c r="K370" i="1"/>
  <c r="K369" i="1" s="1"/>
  <c r="N78" i="1"/>
  <c r="N106" i="1" s="1"/>
  <c r="J247" i="1"/>
  <c r="J249" i="1" s="1"/>
  <c r="R20" i="1"/>
  <c r="R79" i="1"/>
  <c r="M370" i="1"/>
  <c r="J370" i="1"/>
  <c r="J369" i="1" s="1"/>
  <c r="R89" i="1"/>
  <c r="R108" i="1"/>
  <c r="P115" i="1"/>
  <c r="R146" i="1"/>
  <c r="R100" i="1"/>
  <c r="I143" i="1"/>
  <c r="R113" i="1"/>
  <c r="R99" i="1"/>
  <c r="R396" i="1"/>
  <c r="R232" i="1"/>
  <c r="I243" i="1"/>
  <c r="I247" i="1" s="1"/>
  <c r="R219" i="1"/>
  <c r="J144" i="1"/>
  <c r="R114" i="1"/>
  <c r="R149" i="1"/>
  <c r="K50" i="1"/>
  <c r="R427" i="1"/>
  <c r="I147" i="1"/>
  <c r="R117" i="1"/>
  <c r="R135" i="1"/>
  <c r="I130" i="1"/>
  <c r="I140" i="1"/>
  <c r="R110" i="1"/>
  <c r="R138" i="1"/>
  <c r="I73" i="1"/>
  <c r="R150" i="1"/>
  <c r="R372" i="1"/>
  <c r="I371" i="1"/>
  <c r="R251" i="1"/>
  <c r="K142" i="1"/>
  <c r="J141" i="1"/>
  <c r="R111" i="1"/>
  <c r="R164" i="1"/>
  <c r="R109" i="1"/>
  <c r="I148" i="1"/>
  <c r="R118" i="1"/>
  <c r="I137" i="1"/>
  <c r="R107" i="1"/>
  <c r="R105" i="1"/>
  <c r="R139" i="1"/>
  <c r="I94" i="1"/>
  <c r="M369" i="1" l="1"/>
  <c r="S369" i="1" s="1"/>
  <c r="S370" i="1"/>
  <c r="M247" i="1"/>
  <c r="S50" i="1"/>
  <c r="M35" i="1"/>
  <c r="R310" i="1"/>
  <c r="R302" i="1" s="1"/>
  <c r="S310" i="1"/>
  <c r="S302" i="1"/>
  <c r="N370" i="1"/>
  <c r="O145" i="1"/>
  <c r="P130" i="1"/>
  <c r="P121" i="1" s="1"/>
  <c r="P136" i="1" s="1"/>
  <c r="N130" i="1"/>
  <c r="N121" i="1" s="1"/>
  <c r="N136" i="1" s="1"/>
  <c r="O136" i="1"/>
  <c r="N157" i="1"/>
  <c r="N162" i="1" s="1"/>
  <c r="R182" i="1"/>
  <c r="K239" i="1"/>
  <c r="J136" i="1"/>
  <c r="R50" i="1"/>
  <c r="R142" i="1"/>
  <c r="R94" i="1"/>
  <c r="I93" i="1"/>
  <c r="R148" i="1"/>
  <c r="R141" i="1"/>
  <c r="R147" i="1"/>
  <c r="R143" i="1"/>
  <c r="R140" i="1"/>
  <c r="I121" i="1"/>
  <c r="R137" i="1"/>
  <c r="I70" i="1"/>
  <c r="R144" i="1"/>
  <c r="R243" i="1"/>
  <c r="R371" i="1"/>
  <c r="I370" i="1"/>
  <c r="M249" i="1" l="1"/>
  <c r="S249" i="1" s="1"/>
  <c r="S247" i="1"/>
  <c r="M44" i="1"/>
  <c r="S35" i="1"/>
  <c r="M78" i="1"/>
  <c r="P410" i="1"/>
  <c r="R418" i="1"/>
  <c r="N369" i="1"/>
  <c r="N145" i="1"/>
  <c r="P145" i="1"/>
  <c r="K247" i="1"/>
  <c r="R239" i="1"/>
  <c r="R93" i="1"/>
  <c r="I35" i="1"/>
  <c r="I369" i="1"/>
  <c r="M106" i="1" l="1"/>
  <c r="S78" i="1"/>
  <c r="M87" i="1"/>
  <c r="S44" i="1"/>
  <c r="N208" i="1"/>
  <c r="R212" i="1"/>
  <c r="P395" i="1"/>
  <c r="R410" i="1"/>
  <c r="K249" i="1"/>
  <c r="I44" i="1"/>
  <c r="I78" i="1"/>
  <c r="M115" i="1" l="1"/>
  <c r="S87" i="1"/>
  <c r="M157" i="1"/>
  <c r="S106" i="1"/>
  <c r="N207" i="1"/>
  <c r="R208" i="1"/>
  <c r="P370" i="1"/>
  <c r="R395" i="1"/>
  <c r="I106" i="1"/>
  <c r="I87" i="1"/>
  <c r="M162" i="1" l="1"/>
  <c r="S162" i="1" s="1"/>
  <c r="S157" i="1"/>
  <c r="S115" i="1"/>
  <c r="N240" i="1"/>
  <c r="R207" i="1"/>
  <c r="P369" i="1"/>
  <c r="R369" i="1" s="1"/>
  <c r="R370" i="1"/>
  <c r="I115" i="1"/>
  <c r="I157" i="1"/>
  <c r="I136" i="1"/>
  <c r="M121" i="1" l="1"/>
  <c r="S130" i="1"/>
  <c r="M145" i="1"/>
  <c r="S145" i="1" s="1"/>
  <c r="R240" i="1"/>
  <c r="N247" i="1"/>
  <c r="I145" i="1"/>
  <c r="I162" i="1"/>
  <c r="K67" i="1"/>
  <c r="L67" i="1"/>
  <c r="L35" i="1" s="1"/>
  <c r="S121" i="1" l="1"/>
  <c r="M136" i="1"/>
  <c r="S136" i="1" s="1"/>
  <c r="K70" i="1"/>
  <c r="R73" i="1"/>
  <c r="N249" i="1"/>
  <c r="R247" i="1"/>
  <c r="L44" i="1"/>
  <c r="L87" i="1" s="1"/>
  <c r="L115" i="1" s="1"/>
  <c r="L78" i="1"/>
  <c r="L106" i="1" s="1"/>
  <c r="R67" i="1"/>
  <c r="R68" i="1"/>
  <c r="R70" i="1" l="1"/>
  <c r="K35" i="1"/>
  <c r="L130" i="1"/>
  <c r="L157" i="1"/>
  <c r="L162" i="1" s="1"/>
  <c r="K44" i="1" l="1"/>
  <c r="R44" i="1" s="1"/>
  <c r="K78" i="1"/>
  <c r="R35" i="1"/>
  <c r="L121" i="1"/>
  <c r="L145" i="1"/>
  <c r="K106" i="1"/>
  <c r="R78" i="1"/>
  <c r="K87" i="1"/>
  <c r="L136" i="1" l="1"/>
  <c r="R106" i="1"/>
  <c r="K157" i="1"/>
  <c r="R87" i="1"/>
  <c r="K115" i="1"/>
  <c r="K121" i="1" l="1"/>
  <c r="R130" i="1"/>
  <c r="K145" i="1"/>
  <c r="R115" i="1"/>
  <c r="K162" i="1"/>
  <c r="R157" i="1"/>
  <c r="R162" i="1" s="1"/>
  <c r="R121" i="1" l="1"/>
  <c r="K136" i="1"/>
  <c r="R136" i="1" s="1"/>
  <c r="R145" i="1"/>
</calcChain>
</file>

<file path=xl/sharedStrings.xml><?xml version="1.0" encoding="utf-8"?>
<sst xmlns="http://schemas.openxmlformats.org/spreadsheetml/2006/main" count="1410" uniqueCount="708">
  <si>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</si>
  <si>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</si>
  <si>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</si>
  <si>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</si>
  <si>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</si>
  <si>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</si>
  <si>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</si>
  <si>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</si>
  <si>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</si>
  <si>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</si>
  <si>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</si>
  <si>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</si>
  <si>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</si>
  <si>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</si>
  <si>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</si>
  <si>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</si>
  <si>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</si>
  <si>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</si>
  <si>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</si>
  <si>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</si>
  <si>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</si>
  <si>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</si>
  <si>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</si>
  <si>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</si>
  <si>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</si>
  <si>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</si>
  <si>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</si>
  <si>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</si>
  <si>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</si>
  <si>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</si>
  <si>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</si>
  <si>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</si>
  <si>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</si>
  <si>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</si>
  <si>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</si>
  <si>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</si>
  <si>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</si>
  <si>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</si>
  <si>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</si>
  <si>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</si>
  <si>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</si>
  <si>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</si>
  <si>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</si>
  <si>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</si>
  <si>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</si>
  <si>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</si>
  <si>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</si>
  <si>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</si>
  <si>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</si>
  <si>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</si>
  <si>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</si>
  <si>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</si>
  <si>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</si>
  <si>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</si>
  <si>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</si>
  <si>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</si>
  <si>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</si>
  <si>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</si>
  <si>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</si>
  <si>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</si>
  <si>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</si>
  <si>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</si>
  <si>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</si>
  <si>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</si>
  <si>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</si>
  <si>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</si>
  <si>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</si>
  <si>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</si>
  <si>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</si>
  <si>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</si>
  <si>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</si>
  <si>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</si>
  <si>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</si>
  <si>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</si>
  <si>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</si>
  <si>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</si>
  <si>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</si>
  <si>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</si>
  <si>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</si>
  <si>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</si>
  <si>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</si>
  <si>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</si>
  <si>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</si>
  <si>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</si>
  <si>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</si>
  <si>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</si>
  <si>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</si>
  <si>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</si>
  <si>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</si>
  <si>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</si>
  <si>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</si>
  <si>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</si>
  <si>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</si>
  <si>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</si>
  <si>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</si>
  <si>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</si>
  <si>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</si>
  <si>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</si>
  <si>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</si>
  <si>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</si>
  <si>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</si>
  <si>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</si>
  <si>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</si>
  <si>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</si>
  <si>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</si>
  <si>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</si>
  <si>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</si>
  <si>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</si>
  <si>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</si>
  <si>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</si>
  <si>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</si>
  <si>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</si>
  <si>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</si>
  <si>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</si>
  <si>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</si>
  <si>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</si>
  <si>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</si>
  <si>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</si>
  <si>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</si>
  <si>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</si>
  <si>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</si>
  <si>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</si>
  <si>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</si>
  <si>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</si>
  <si>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</si>
  <si>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</si>
  <si>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</si>
  <si>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</si>
  <si>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</si>
  <si>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</si>
  <si>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</si>
  <si>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</si>
  <si>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</si>
  <si>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</si>
  <si>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</si>
  <si>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</si>
  <si>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</si>
  <si>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</si>
  <si>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</si>
  <si>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</si>
  <si>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</si>
  <si>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</si>
  <si>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</si>
  <si>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</si>
  <si>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</si>
  <si>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</si>
  <si>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</si>
  <si>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</si>
  <si>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</si>
  <si>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</si>
  <si>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</si>
  <si>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</si>
  <si>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</si>
  <si>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</si>
  <si>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</si>
  <si>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</si>
  <si>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</si>
  <si>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</si>
  <si>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</si>
  <si>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</si>
  <si>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</si>
  <si>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</si>
  <si>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</si>
  <si>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</si>
  <si>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</si>
  <si>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</si>
  <si>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</si>
  <si>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</si>
  <si>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</si>
  <si>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</si>
  <si>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</si>
  <si>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</si>
  <si>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</si>
  <si>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</si>
  <si>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</si>
  <si>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</si>
  <si>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</si>
  <si>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</si>
  <si>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</si>
  <si>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</si>
  <si>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</si>
  <si>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</si>
  <si>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</si>
  <si>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</si>
  <si>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</si>
  <si>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</si>
  <si>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</si>
  <si>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</si>
  <si>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</si>
  <si>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</si>
  <si>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</si>
  <si>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</si>
  <si>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</si>
  <si>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</si>
  <si>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</si>
  <si>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</si>
  <si>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</si>
  <si>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</si>
  <si>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</si>
  <si>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</si>
  <si>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</si>
  <si>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</si>
  <si>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</si>
  <si>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</si>
  <si>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</si>
  <si>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</si>
  <si>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</si>
  <si>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</si>
  <si>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</si>
  <si>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</si>
  <si>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</si>
  <si>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</si>
  <si>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</si>
  <si>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</si>
  <si>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</si>
  <si>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</si>
  <si>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</si>
  <si>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</si>
  <si>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</si>
  <si>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</si>
  <si>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</si>
  <si>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</si>
  <si>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</si>
  <si>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</si>
  <si>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</si>
  <si>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</si>
  <si>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</si>
  <si>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</si>
  <si>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</si>
  <si>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</si>
  <si>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</si>
  <si>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</si>
  <si>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</si>
  <si>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</si>
  <si>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</si>
  <si>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</si>
  <si>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</si>
  <si>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</si>
  <si>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</si>
  <si>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</si>
  <si>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</si>
  <si>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</si>
  <si>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</si>
  <si>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</si>
  <si>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</si>
  <si>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</si>
  <si>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</si>
  <si>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</si>
  <si>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</si>
  <si>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</si>
  <si>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</si>
  <si>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</si>
  <si>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</si>
  <si>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</si>
  <si>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</si>
  <si>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</si>
  <si>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</si>
  <si>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</si>
  <si>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</si>
  <si>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</si>
  <si>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</si>
  <si>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</si>
  <si>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</si>
  <si>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</si>
  <si>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</si>
  <si>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</si>
  <si>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</si>
  <si>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</si>
  <si>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</si>
  <si>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</si>
  <si>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</si>
  <si>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</si>
  <si>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</si>
  <si>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</si>
  <si>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</si>
  <si>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</si>
  <si>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</si>
  <si>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</si>
  <si>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</si>
  <si>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</si>
  <si>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</si>
  <si>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</si>
  <si>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</si>
  <si>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</si>
  <si>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</si>
  <si>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</si>
  <si>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</si>
  <si>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</si>
  <si>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</si>
  <si>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</si>
  <si>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</si>
  <si>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</si>
  <si>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</si>
  <si>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</si>
  <si>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</si>
  <si>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</si>
  <si>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</si>
  <si>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</si>
  <si>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</si>
  <si>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</si>
  <si>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</si>
  <si>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</si>
  <si>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</si>
  <si>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</si>
  <si>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</si>
  <si>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</si>
  <si>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</si>
  <si>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</si>
  <si>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</si>
  <si>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</si>
  <si>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</si>
  <si>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</si>
  <si>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</si>
  <si>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</si>
  <si>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</si>
  <si>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</si>
  <si>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</si>
  <si>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</si>
  <si>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</si>
  <si>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</si>
  <si>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</si>
  <si>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</si>
  <si>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</si>
  <si>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</si>
  <si>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</si>
  <si>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</si>
  <si>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</si>
  <si>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</si>
  <si>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</si>
  <si>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</si>
  <si>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</si>
  <si>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</si>
  <si>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</si>
  <si>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</si>
  <si>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</si>
  <si>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</si>
  <si>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</si>
  <si>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</si>
  <si>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</si>
  <si>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</si>
  <si>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</si>
  <si>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</si>
  <si>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</si>
  <si>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</si>
  <si>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</si>
  <si>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</si>
  <si>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</si>
  <si>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</si>
  <si>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</si>
  <si>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</si>
  <si>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</si>
  <si>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</si>
  <si>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</si>
  <si>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</si>
  <si>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</si>
  <si>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</si>
  <si>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</si>
  <si>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</si>
  <si>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</si>
  <si>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</si>
  <si>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</si>
  <si>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</si>
  <si>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</si>
  <si>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</si>
  <si>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</si>
  <si>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</si>
  <si>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</si>
  <si>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</si>
  <si>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</si>
  <si>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</si>
  <si>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</si>
  <si>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</si>
  <si>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</si>
  <si>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</si>
  <si>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</si>
  <si>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</si>
  <si>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</si>
  <si>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</si>
  <si>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</si>
  <si>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</si>
  <si>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</si>
  <si>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</si>
  <si>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</si>
  <si>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</si>
  <si>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</si>
  <si>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</si>
  <si>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</si>
  <si>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</si>
  <si>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</si>
  <si>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</si>
  <si>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</si>
  <si>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</si>
  <si>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</si>
  <si>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</si>
  <si>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</si>
  <si>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</si>
  <si>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</si>
  <si>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</si>
  <si>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</si>
  <si>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</si>
  <si>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</si>
  <si>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</si>
  <si>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</si>
  <si>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</si>
  <si>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</si>
  <si>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</si>
  <si>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</si>
  <si>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</si>
  <si>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</si>
  <si>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</si>
  <si>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</si>
  <si>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</si>
  <si>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</si>
  <si>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</si>
  <si>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</si>
  <si>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</si>
  <si>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</si>
  <si>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</si>
  <si>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</si>
  <si>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</si>
  <si>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</si>
  <si>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</si>
  <si>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</si>
  <si>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</si>
  <si>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</si>
  <si>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</si>
  <si>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</si>
  <si>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</si>
  <si>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</si>
  <si>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</si>
  <si>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</si>
  <si>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</si>
  <si>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</si>
  <si>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</si>
  <si>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</si>
  <si>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</si>
  <si>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</si>
  <si>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</si>
  <si>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</si>
  <si>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</si>
  <si>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</si>
  <si>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</si>
  <si>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</si>
  <si>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</si>
  <si>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</si>
  <si>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</si>
  <si>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</si>
  <si>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</si>
  <si>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</si>
  <si>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</si>
  <si>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</si>
  <si>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</si>
  <si>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</si>
  <si>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</si>
  <si>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</si>
  <si>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</si>
  <si>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</si>
  <si>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</si>
  <si>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</si>
  <si>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</si>
  <si>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</si>
  <si>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</si>
  <si>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</si>
  <si>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</si>
  <si>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</si>
  <si>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</si>
  <si>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</si>
  <si>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</si>
  <si>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</si>
  <si>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</si>
  <si>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</si>
  <si>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</si>
  <si>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</si>
  <si>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</si>
  <si>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</si>
  <si>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</si>
  <si>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</si>
  <si>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</si>
  <si>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</si>
  <si>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</si>
  <si>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</si>
  <si>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</si>
  <si>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</si>
  <si>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</si>
  <si>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</si>
  <si>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</si>
  <si>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</si>
  <si>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</si>
  <si>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</si>
  <si>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</si>
  <si>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</si>
  <si>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</si>
  <si>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</si>
  <si>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</si>
  <si>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</si>
  <si>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</si>
  <si>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</si>
  <si>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</si>
  <si>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</si>
  <si>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</si>
  <si>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</si>
  <si>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</si>
  <si>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</si>
  <si>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</si>
  <si>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</si>
  <si>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</si>
  <si>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</si>
  <si>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</si>
  <si>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</si>
  <si>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</si>
  <si>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</si>
  <si>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</si>
  <si>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</si>
  <si>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</si>
  <si>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</si>
  <si>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</si>
  <si>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</si>
  <si>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</si>
  <si>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</si>
  <si>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</si>
  <si>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</si>
  <si>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</si>
  <si>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</si>
  <si>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</si>
  <si>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</si>
  <si>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</si>
  <si>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</si>
  <si>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</si>
  <si>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</si>
  <si>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</si>
  <si>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</si>
  <si>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</si>
  <si>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</si>
  <si>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</si>
  <si>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</si>
  <si>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</si>
  <si>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</si>
  <si>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</si>
  <si>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</si>
  <si>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</si>
  <si>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</si>
  <si>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</si>
  <si>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</si>
  <si>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</si>
  <si>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</si>
  <si>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</si>
  <si>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</si>
  <si>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</si>
  <si>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</si>
  <si>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</si>
  <si>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</si>
  <si>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</si>
  <si>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</si>
  <si>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</si>
  <si>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</si>
  <si>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</si>
  <si>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</si>
  <si>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</si>
  <si>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</si>
  <si>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</si>
  <si>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</si>
  <si>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</si>
  <si>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</si>
  <si>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</si>
  <si>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</si>
  <si>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</si>
  <si>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</si>
  <si>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</si>
  <si>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</si>
  <si>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</si>
  <si>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</si>
  <si>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</si>
  <si>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</si>
  <si>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</si>
  <si>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</si>
  <si>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</si>
  <si>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</si>
  <si>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</si>
  <si>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</si>
  <si>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</si>
  <si>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</si>
  <si>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</si>
  <si>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</si>
  <si>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</si>
  <si>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</si>
  <si>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</si>
  <si>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</si>
  <si>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</si>
  <si>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</si>
  <si>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</si>
  <si>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</si>
  <si>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</si>
  <si>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</si>
  <si>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</si>
  <si>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</si>
  <si>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</si>
  <si>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</si>
  <si>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</si>
  <si>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</si>
  <si>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</si>
  <si>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</si>
  <si>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</si>
  <si>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</si>
  <si>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</si>
  <si>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</si>
  <si>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</si>
  <si>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</si>
  <si>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</si>
  <si>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</si>
  <si>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</si>
  <si>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</si>
  <si>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</si>
  <si>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</si>
  <si>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</si>
  <si>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</si>
  <si>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</si>
  <si>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</si>
  <si>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</si>
  <si>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</si>
  <si>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</si>
  <si>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</si>
  <si>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</si>
  <si>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</si>
  <si>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</si>
  <si>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</si>
  <si>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</si>
  <si>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</si>
  <si>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</si>
  <si>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</si>
  <si>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</si>
  <si>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</si>
  <si>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</si>
  <si>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</si>
  <si>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</si>
  <si>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</si>
  <si>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</si>
  <si>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</si>
  <si>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</si>
  <si>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</si>
  <si>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</si>
  <si>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</si>
  <si>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</si>
  <si>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</si>
  <si>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</si>
  <si>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</si>
  <si>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</si>
  <si>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</si>
  <si>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</si>
  <si>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</si>
  <si>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</si>
  <si>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</si>
  <si>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</si>
  <si>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</si>
  <si>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</si>
  <si>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</si>
  <si>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</si>
  <si>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</si>
  <si>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</si>
  <si>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</si>
  <si>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</si>
  <si>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</si>
  <si>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</si>
  <si>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</si>
  <si>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</si>
  <si>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</si>
  <si>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</si>
  <si>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</si>
  <si>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</si>
  <si>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</si>
  <si>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</si>
  <si>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</si>
  <si>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</si>
  <si>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</si>
  <si>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</si>
  <si>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</si>
  <si>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</si>
  <si>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</si>
  <si>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</si>
  <si>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</si>
  <si>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</si>
  <si>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</si>
  <si>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</si>
  <si>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</si>
  <si>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</si>
  <si>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</si>
  <si>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"/>
        <rFont val="Times New Roman"/>
        <family val="1"/>
        <charset val="204"/>
      </rPr>
      <t>Примечание:</t>
    </r>
  </si>
  <si>
    <r>
      <t>_____</t>
    </r>
    <r>
      <rPr>
        <sz val="5"/>
        <rFont val="Times New Roman"/>
        <family val="1"/>
        <charset val="204"/>
      </rPr>
      <t>*</t>
    </r>
    <r>
      <rPr>
        <sz val="5"/>
        <color rgb="FFFFFFFF"/>
        <rFont val="Times New Roman"/>
        <family val="1"/>
        <charset val="204"/>
      </rPr>
      <t>_</t>
    </r>
    <r>
      <rPr>
        <sz val="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</si>
  <si>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"/>
        <rFont val="Times New Roman"/>
        <family val="1"/>
        <charset val="204"/>
      </rPr>
      <t>**</t>
    </r>
    <r>
      <rPr>
        <sz val="5"/>
        <color rgb="FFFFFFFF"/>
        <rFont val="Times New Roman"/>
        <family val="1"/>
        <charset val="204"/>
      </rPr>
      <t>_</t>
    </r>
    <r>
      <rPr>
        <sz val="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</si>
  <si>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"/>
        <rFont val="Times New Roman"/>
        <family val="1"/>
        <charset val="204"/>
      </rPr>
      <t>***</t>
    </r>
    <r>
      <rPr>
        <sz val="5"/>
        <color rgb="FFFFFFFF"/>
        <rFont val="Times New Roman"/>
        <family val="1"/>
        <charset val="204"/>
      </rPr>
      <t>_</t>
    </r>
    <r>
      <rPr>
        <sz val="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</si>
  <si>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"/>
        <rFont val="Times New Roman"/>
        <family val="1"/>
        <charset val="204"/>
      </rPr>
      <t>****</t>
    </r>
    <r>
      <rPr>
        <sz val="5"/>
        <color rgb="FFFFFFFF"/>
        <rFont val="Times New Roman"/>
        <family val="1"/>
        <charset val="204"/>
      </rPr>
      <t>_</t>
    </r>
    <r>
      <rPr>
        <sz val="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</si>
  <si>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"/>
        <rFont val="Times New Roman"/>
        <family val="1"/>
        <charset val="204"/>
      </rPr>
      <t>*****</t>
    </r>
    <r>
      <rPr>
        <sz val="5"/>
        <color rgb="FFFFFFFF"/>
        <rFont val="Times New Roman"/>
        <family val="1"/>
        <charset val="204"/>
      </rPr>
      <t>_</t>
    </r>
    <r>
      <rPr>
        <sz val="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</si>
  <si>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</si>
  <si>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</si>
  <si>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"/>
        <rFont val="Times New Roman"/>
        <family val="1"/>
        <charset val="204"/>
      </rPr>
      <t>по расчету требований и обязательств участников оптового рынка.</t>
    </r>
  </si>
  <si>
    <t>ТП "Энергосбыт Бурятии" АО "Читаэнергосбыт"</t>
  </si>
  <si>
    <t xml:space="preserve"> </t>
  </si>
  <si>
    <t>Год 2018 (N-1)</t>
  </si>
  <si>
    <t>Год 2019 (N)</t>
  </si>
  <si>
    <t>Год 2020 (N+1)</t>
  </si>
  <si>
    <t>Год 2021 (N+2)</t>
  </si>
  <si>
    <t>Год 2017 (N-2)</t>
  </si>
  <si>
    <t>Год 2016 (N-3)</t>
  </si>
  <si>
    <t>Республика Бурятия</t>
  </si>
  <si>
    <t>2. Источники финансирования инвестиционной программы субъекта электроэнергетики (без НДС)</t>
  </si>
  <si>
    <t>решение об утверждении инвестиционной программы отсутствует</t>
  </si>
  <si>
    <t xml:space="preserve">План </t>
  </si>
  <si>
    <t>План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</si>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</sst>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5">
    <font>
      <sz val="10"/>
      <color rgb="FF000000"/>
      <name val="Arimo"/>
    </font>
    <font>
      <b/>
      <sz val="5"/>
      <name val="Times New Roman"/>
      <family val="1"/>
      <charset val="204"/>
    </font>
    <font>
      <sz val="5"/>
      <name val="Times New Roman"/>
      <family val="1"/>
      <charset val="204"/>
    </font>
    <font>
      <sz val="5"/>
      <color rgb="FFFFFFFF"/>
      <name val="Times New Roman"/>
      <family val="1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  <font>
      <sz val="5.85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 applyFont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19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top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164" fontId="11" fillId="0" borderId="40" xfId="0" applyNumberFormat="1" applyFont="1" applyFill="1" applyBorder="1" applyAlignment="1">
      <alignment horizontal="center" vertical="center"/>
    </xf>
    <xf numFmtId="164" fontId="11" fillId="0" borderId="27" xfId="0" applyNumberFormat="1" applyFont="1" applyFill="1" applyBorder="1" applyAlignment="1">
      <alignment horizontal="center" vertical="center"/>
    </xf>
    <xf numFmtId="164" fontId="11" fillId="0" borderId="42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top"/>
    </xf>
    <xf numFmtId="165" fontId="11" fillId="0" borderId="19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164" fontId="11" fillId="0" borderId="18" xfId="0" applyNumberFormat="1" applyFont="1" applyFill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1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top"/>
    </xf>
    <xf numFmtId="0" fontId="10" fillId="0" borderId="26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1" fillId="0" borderId="33" xfId="0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33" xfId="0" applyNumberFormat="1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164" fontId="11" fillId="0" borderId="39" xfId="0" applyNumberFormat="1" applyFont="1" applyFill="1" applyBorder="1" applyAlignment="1">
      <alignment horizontal="center" vertical="center"/>
    </xf>
    <xf numFmtId="164" fontId="11" fillId="0" borderId="38" xfId="0" applyNumberFormat="1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164" fontId="11" fillId="0" borderId="41" xfId="0" applyNumberFormat="1" applyFont="1" applyFill="1" applyBorder="1" applyAlignment="1">
      <alignment horizontal="center" vertical="center"/>
    </xf>
    <xf numFmtId="164" fontId="11" fillId="0" borderId="17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0" fontId="11" fillId="0" borderId="18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1" fontId="11" fillId="0" borderId="40" xfId="0" applyNumberFormat="1" applyFont="1" applyFill="1" applyBorder="1" applyAlignment="1">
      <alignment horizontal="center" vertical="center"/>
    </xf>
    <xf numFmtId="1" fontId="11" fillId="0" borderId="38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8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top"/>
    </xf>
    <xf numFmtId="0" fontId="12" fillId="0" borderId="26" xfId="0" applyFont="1" applyFill="1" applyBorder="1" applyAlignment="1">
      <alignment horizontal="center" vertical="top"/>
    </xf>
    <xf numFmtId="0" fontId="12" fillId="0" borderId="0" xfId="0" applyFont="1" applyFill="1" applyAlignment="1">
      <alignment vertical="top"/>
    </xf>
    <xf numFmtId="165" fontId="11" fillId="0" borderId="20" xfId="0" applyNumberFormat="1" applyFont="1" applyFill="1" applyBorder="1" applyAlignment="1">
      <alignment horizontal="center" vertical="center"/>
    </xf>
    <xf numFmtId="165" fontId="11" fillId="0" borderId="18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5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left" vertical="center" wrapText="1" indent="3"/>
    </xf>
    <xf numFmtId="0" fontId="11" fillId="0" borderId="37" xfId="0" applyFont="1" applyFill="1" applyBorder="1" applyAlignment="1">
      <alignment horizontal="left" vertical="center" wrapText="1" indent="3"/>
    </xf>
    <xf numFmtId="0" fontId="11" fillId="0" borderId="35" xfId="0" applyFont="1" applyFill="1" applyBorder="1" applyAlignment="1">
      <alignment horizontal="left" vertical="center" wrapText="1" indent="3"/>
    </xf>
    <xf numFmtId="0" fontId="11" fillId="0" borderId="36" xfId="0" applyFont="1" applyFill="1" applyBorder="1" applyAlignment="1">
      <alignment horizontal="left" vertical="center" wrapText="1" indent="4"/>
    </xf>
    <xf numFmtId="0" fontId="11" fillId="0" borderId="37" xfId="0" applyFont="1" applyFill="1" applyBorder="1" applyAlignment="1">
      <alignment horizontal="left" vertical="center" wrapText="1" indent="4"/>
    </xf>
    <xf numFmtId="0" fontId="11" fillId="0" borderId="35" xfId="0" applyFont="1" applyFill="1" applyBorder="1" applyAlignment="1">
      <alignment horizontal="left" vertical="center" wrapText="1" indent="4"/>
    </xf>
    <xf numFmtId="0" fontId="11" fillId="0" borderId="36" xfId="0" applyFont="1" applyFill="1" applyBorder="1" applyAlignment="1">
      <alignment horizontal="left" vertical="center" wrapText="1" indent="5"/>
    </xf>
    <xf numFmtId="0" fontId="11" fillId="0" borderId="37" xfId="0" applyFont="1" applyFill="1" applyBorder="1" applyAlignment="1">
      <alignment horizontal="left" vertical="center" wrapText="1" indent="5"/>
    </xf>
    <xf numFmtId="0" fontId="11" fillId="0" borderId="35" xfId="0" applyFont="1" applyFill="1" applyBorder="1" applyAlignment="1">
      <alignment horizontal="left" vertical="center" wrapText="1" indent="5"/>
    </xf>
    <xf numFmtId="0" fontId="11" fillId="0" borderId="36" xfId="0" applyFont="1" applyFill="1" applyBorder="1" applyAlignment="1">
      <alignment horizontal="left" vertical="center" wrapText="1" indent="2"/>
    </xf>
    <xf numFmtId="0" fontId="11" fillId="0" borderId="37" xfId="0" applyFont="1" applyFill="1" applyBorder="1" applyAlignment="1">
      <alignment horizontal="left" vertical="center" wrapText="1" indent="2"/>
    </xf>
    <xf numFmtId="0" fontId="11" fillId="0" borderId="35" xfId="0" applyFont="1" applyFill="1" applyBorder="1" applyAlignment="1">
      <alignment horizontal="left" vertical="center" wrapText="1" indent="2"/>
    </xf>
    <xf numFmtId="0" fontId="11" fillId="0" borderId="36" xfId="0" applyFont="1" applyFill="1" applyBorder="1" applyAlignment="1">
      <alignment horizontal="left" vertical="center" wrapText="1" indent="1"/>
    </xf>
    <xf numFmtId="0" fontId="11" fillId="0" borderId="37" xfId="0" applyFont="1" applyFill="1" applyBorder="1" applyAlignment="1">
      <alignment horizontal="left" vertical="center" wrapText="1" indent="1"/>
    </xf>
    <xf numFmtId="0" fontId="11" fillId="0" borderId="35" xfId="0" applyFont="1" applyFill="1" applyBorder="1" applyAlignment="1">
      <alignment horizontal="left" vertical="center" wrapText="1" indent="1"/>
    </xf>
    <xf numFmtId="0" fontId="11" fillId="0" borderId="36" xfId="0" applyFont="1" applyFill="1" applyBorder="1" applyAlignment="1">
      <alignment horizontal="left" vertical="center" wrapText="1"/>
    </xf>
    <xf numFmtId="0" fontId="11" fillId="0" borderId="37" xfId="0" applyFont="1" applyFill="1" applyBorder="1" applyAlignment="1">
      <alignment horizontal="left" vertical="center" wrapText="1"/>
    </xf>
    <xf numFmtId="0" fontId="11" fillId="0" borderId="35" xfId="0" applyFont="1" applyFill="1" applyBorder="1" applyAlignment="1">
      <alignment horizontal="left" vertical="center" wrapText="1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 indent="2"/>
    </xf>
    <xf numFmtId="0" fontId="11" fillId="0" borderId="22" xfId="0" applyFont="1" applyFill="1" applyBorder="1" applyAlignment="1">
      <alignment horizontal="left" vertical="center" wrapText="1" indent="2"/>
    </xf>
    <xf numFmtId="0" fontId="11" fillId="0" borderId="23" xfId="0" applyFont="1" applyFill="1" applyBorder="1" applyAlignment="1">
      <alignment horizontal="left" vertical="center" wrapText="1" indent="1"/>
    </xf>
    <xf numFmtId="0" fontId="11" fillId="0" borderId="24" xfId="0" applyFont="1" applyFill="1" applyBorder="1" applyAlignment="1">
      <alignment horizontal="left" vertical="center" wrapText="1" indent="1"/>
    </xf>
    <xf numFmtId="0" fontId="11" fillId="0" borderId="22" xfId="0" applyFont="1" applyFill="1" applyBorder="1" applyAlignment="1">
      <alignment horizontal="left" vertical="center" wrapText="1" inden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8" fillId="0" borderId="28" xfId="0" applyNumberFormat="1" applyFont="1" applyFill="1" applyBorder="1" applyAlignment="1">
      <alignment horizontal="center" vertical="center"/>
    </xf>
    <xf numFmtId="49" fontId="8" fillId="0" borderId="29" xfId="0" applyNumberFormat="1" applyFont="1" applyFill="1" applyBorder="1" applyAlignment="1">
      <alignment horizontal="center" vertical="center"/>
    </xf>
    <xf numFmtId="49" fontId="8" fillId="0" borderId="30" xfId="0" applyNumberFormat="1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top"/>
    </xf>
    <xf numFmtId="0" fontId="12" fillId="0" borderId="24" xfId="0" applyFont="1" applyFill="1" applyBorder="1" applyAlignment="1">
      <alignment horizontal="center" vertical="top"/>
    </xf>
    <xf numFmtId="0" fontId="12" fillId="0" borderId="22" xfId="0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left" vertical="center" wrapText="1" indent="3"/>
    </xf>
    <xf numFmtId="0" fontId="11" fillId="0" borderId="24" xfId="0" applyFont="1" applyFill="1" applyBorder="1" applyAlignment="1">
      <alignment horizontal="left" vertical="center" wrapText="1" indent="3"/>
    </xf>
    <xf numFmtId="0" fontId="11" fillId="0" borderId="22" xfId="0" applyFont="1" applyFill="1" applyBorder="1" applyAlignment="1">
      <alignment horizontal="left" vertical="center" wrapText="1" indent="3"/>
    </xf>
    <xf numFmtId="0" fontId="11" fillId="0" borderId="11" xfId="0" applyFont="1" applyFill="1" applyBorder="1" applyAlignment="1">
      <alignment horizontal="left" vertical="center" wrapText="1"/>
    </xf>
    <xf numFmtId="0" fontId="11" fillId="0" borderId="3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44" xfId="0" applyFont="1" applyFill="1" applyBorder="1" applyAlignment="1">
      <alignment horizontal="left" vertical="center" wrapText="1"/>
    </xf>
    <xf numFmtId="49" fontId="11" fillId="0" borderId="31" xfId="0" applyNumberFormat="1" applyFont="1" applyFill="1" applyBorder="1" applyAlignment="1">
      <alignment horizontal="left" vertical="center" wrapText="1"/>
    </xf>
    <xf numFmtId="49" fontId="11" fillId="0" borderId="32" xfId="0" applyNumberFormat="1" applyFont="1" applyFill="1" applyBorder="1" applyAlignment="1">
      <alignment horizontal="lef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center" vertical="top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2" xfId="0" applyFont="1" applyFill="1" applyBorder="1" applyAlignment="1">
      <alignment horizontal="left" vertical="center" wrapText="1" indent="1"/>
    </xf>
    <xf numFmtId="0" fontId="11" fillId="0" borderId="2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vertical="center"/>
    </xf>
    <xf numFmtId="2" fontId="11" fillId="0" borderId="1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0"/>
  <sheetViews>
    <sheetView tabSelected="1" zoomScale="142" zoomScaleNormal="142" workbookViewId="0">
      <selection activeCell="J12" sqref="J12"/>
    </sheetView>
  </sheetViews>
  <sheetFormatPr defaultRowHeight="15" customHeight="1"/>
  <cols>
    <col min="1" max="1" width="1.42578125" style="27" customWidth="1"/>
    <col min="2" max="2" width="3.42578125" style="27" customWidth="1"/>
    <col min="3" max="3" width="11.42578125" style="27" customWidth="1"/>
    <col min="4" max="4" width="7.28515625" style="27" customWidth="1"/>
    <col min="5" max="5" width="14" style="27" customWidth="1"/>
    <col min="6" max="6" width="6.42578125" style="27" customWidth="1"/>
    <col min="7" max="7" width="4.5703125" style="27" customWidth="1"/>
    <col min="8" max="8" width="6.140625" style="2" customWidth="1"/>
    <col min="9" max="9" width="5" style="2" customWidth="1"/>
    <col min="10" max="10" width="4.7109375" style="2" customWidth="1"/>
    <col min="11" max="11" width="5.140625" style="2" customWidth="1"/>
    <col min="12" max="12" width="6" style="2" customWidth="1"/>
    <col min="13" max="13" width="8.28515625" style="2" customWidth="1"/>
    <col min="14" max="14" width="6.140625" style="2" customWidth="1"/>
    <col min="15" max="15" width="8.7109375" style="2" customWidth="1"/>
    <col min="16" max="16" width="6.7109375" style="2" customWidth="1"/>
    <col min="17" max="17" width="9.140625" style="2" customWidth="1"/>
    <col min="18" max="18" width="6.140625" style="2" customWidth="1"/>
    <col min="19" max="19" width="8.7109375" style="2" customWidth="1"/>
    <col min="20" max="256" width="9.140625" style="27"/>
    <col min="257" max="257" width="1.42578125" style="27" customWidth="1"/>
    <col min="258" max="258" width="3.42578125" style="27" customWidth="1"/>
    <col min="259" max="259" width="11.42578125" style="27" customWidth="1"/>
    <col min="260" max="260" width="7.28515625" style="27" customWidth="1"/>
    <col min="261" max="261" width="14" style="27" customWidth="1"/>
    <col min="262" max="262" width="6.42578125" style="27" customWidth="1"/>
    <col min="263" max="263" width="4.5703125" style="27" customWidth="1"/>
    <col min="264" max="264" width="6.140625" style="27" customWidth="1"/>
    <col min="265" max="266" width="4.7109375" style="27" customWidth="1"/>
    <col min="267" max="267" width="5.140625" style="27" customWidth="1"/>
    <col min="268" max="268" width="8.5703125" style="27" customWidth="1"/>
    <col min="269" max="269" width="9.5703125" style="27" customWidth="1"/>
    <col min="270" max="270" width="8.7109375" style="27" customWidth="1"/>
    <col min="271" max="271" width="9.28515625" style="27" customWidth="1"/>
    <col min="272" max="272" width="8.7109375" style="27" customWidth="1"/>
    <col min="273" max="273" width="9.28515625" style="27" customWidth="1"/>
    <col min="274" max="274" width="8.7109375" style="27" customWidth="1"/>
    <col min="275" max="275" width="9.28515625" style="27" customWidth="1"/>
    <col min="276" max="512" width="9.140625" style="27"/>
    <col min="513" max="513" width="1.42578125" style="27" customWidth="1"/>
    <col min="514" max="514" width="3.42578125" style="27" customWidth="1"/>
    <col min="515" max="515" width="11.42578125" style="27" customWidth="1"/>
    <col min="516" max="516" width="7.28515625" style="27" customWidth="1"/>
    <col min="517" max="517" width="14" style="27" customWidth="1"/>
    <col min="518" max="518" width="6.42578125" style="27" customWidth="1"/>
    <col min="519" max="519" width="4.5703125" style="27" customWidth="1"/>
    <col min="520" max="520" width="6.140625" style="27" customWidth="1"/>
    <col min="521" max="522" width="4.7109375" style="27" customWidth="1"/>
    <col min="523" max="523" width="5.140625" style="27" customWidth="1"/>
    <col min="524" max="524" width="8.5703125" style="27" customWidth="1"/>
    <col min="525" max="525" width="9.5703125" style="27" customWidth="1"/>
    <col min="526" max="526" width="8.7109375" style="27" customWidth="1"/>
    <col min="527" max="527" width="9.28515625" style="27" customWidth="1"/>
    <col min="528" max="528" width="8.7109375" style="27" customWidth="1"/>
    <col min="529" max="529" width="9.28515625" style="27" customWidth="1"/>
    <col min="530" max="530" width="8.7109375" style="27" customWidth="1"/>
    <col min="531" max="531" width="9.28515625" style="27" customWidth="1"/>
    <col min="532" max="768" width="9.140625" style="27"/>
    <col min="769" max="769" width="1.42578125" style="27" customWidth="1"/>
    <col min="770" max="770" width="3.42578125" style="27" customWidth="1"/>
    <col min="771" max="771" width="11.42578125" style="27" customWidth="1"/>
    <col min="772" max="772" width="7.28515625" style="27" customWidth="1"/>
    <col min="773" max="773" width="14" style="27" customWidth="1"/>
    <col min="774" max="774" width="6.42578125" style="27" customWidth="1"/>
    <col min="775" max="775" width="4.5703125" style="27" customWidth="1"/>
    <col min="776" max="776" width="6.140625" style="27" customWidth="1"/>
    <col min="777" max="778" width="4.7109375" style="27" customWidth="1"/>
    <col min="779" max="779" width="5.140625" style="27" customWidth="1"/>
    <col min="780" max="780" width="8.5703125" style="27" customWidth="1"/>
    <col min="781" max="781" width="9.5703125" style="27" customWidth="1"/>
    <col min="782" max="782" width="8.7109375" style="27" customWidth="1"/>
    <col min="783" max="783" width="9.28515625" style="27" customWidth="1"/>
    <col min="784" max="784" width="8.7109375" style="27" customWidth="1"/>
    <col min="785" max="785" width="9.28515625" style="27" customWidth="1"/>
    <col min="786" max="786" width="8.7109375" style="27" customWidth="1"/>
    <col min="787" max="787" width="9.28515625" style="27" customWidth="1"/>
    <col min="788" max="1024" width="9.140625" style="27"/>
    <col min="1025" max="1025" width="1.42578125" style="27" customWidth="1"/>
    <col min="1026" max="1026" width="3.42578125" style="27" customWidth="1"/>
    <col min="1027" max="1027" width="11.42578125" style="27" customWidth="1"/>
    <col min="1028" max="1028" width="7.28515625" style="27" customWidth="1"/>
    <col min="1029" max="1029" width="14" style="27" customWidth="1"/>
    <col min="1030" max="1030" width="6.42578125" style="27" customWidth="1"/>
    <col min="1031" max="1031" width="4.5703125" style="27" customWidth="1"/>
    <col min="1032" max="1032" width="6.140625" style="27" customWidth="1"/>
    <col min="1033" max="1034" width="4.7109375" style="27" customWidth="1"/>
    <col min="1035" max="1035" width="5.140625" style="27" customWidth="1"/>
    <col min="1036" max="1036" width="8.5703125" style="27" customWidth="1"/>
    <col min="1037" max="1037" width="9.5703125" style="27" customWidth="1"/>
    <col min="1038" max="1038" width="8.7109375" style="27" customWidth="1"/>
    <col min="1039" max="1039" width="9.28515625" style="27" customWidth="1"/>
    <col min="1040" max="1040" width="8.7109375" style="27" customWidth="1"/>
    <col min="1041" max="1041" width="9.28515625" style="27" customWidth="1"/>
    <col min="1042" max="1042" width="8.7109375" style="27" customWidth="1"/>
    <col min="1043" max="1043" width="9.28515625" style="27" customWidth="1"/>
    <col min="1044" max="1280" width="9.140625" style="27"/>
    <col min="1281" max="1281" width="1.42578125" style="27" customWidth="1"/>
    <col min="1282" max="1282" width="3.42578125" style="27" customWidth="1"/>
    <col min="1283" max="1283" width="11.42578125" style="27" customWidth="1"/>
    <col min="1284" max="1284" width="7.28515625" style="27" customWidth="1"/>
    <col min="1285" max="1285" width="14" style="27" customWidth="1"/>
    <col min="1286" max="1286" width="6.42578125" style="27" customWidth="1"/>
    <col min="1287" max="1287" width="4.5703125" style="27" customWidth="1"/>
    <col min="1288" max="1288" width="6.140625" style="27" customWidth="1"/>
    <col min="1289" max="1290" width="4.7109375" style="27" customWidth="1"/>
    <col min="1291" max="1291" width="5.140625" style="27" customWidth="1"/>
    <col min="1292" max="1292" width="8.5703125" style="27" customWidth="1"/>
    <col min="1293" max="1293" width="9.5703125" style="27" customWidth="1"/>
    <col min="1294" max="1294" width="8.7109375" style="27" customWidth="1"/>
    <col min="1295" max="1295" width="9.28515625" style="27" customWidth="1"/>
    <col min="1296" max="1296" width="8.7109375" style="27" customWidth="1"/>
    <col min="1297" max="1297" width="9.28515625" style="27" customWidth="1"/>
    <col min="1298" max="1298" width="8.7109375" style="27" customWidth="1"/>
    <col min="1299" max="1299" width="9.28515625" style="27" customWidth="1"/>
    <col min="1300" max="1536" width="9.140625" style="27"/>
    <col min="1537" max="1537" width="1.42578125" style="27" customWidth="1"/>
    <col min="1538" max="1538" width="3.42578125" style="27" customWidth="1"/>
    <col min="1539" max="1539" width="11.42578125" style="27" customWidth="1"/>
    <col min="1540" max="1540" width="7.28515625" style="27" customWidth="1"/>
    <col min="1541" max="1541" width="14" style="27" customWidth="1"/>
    <col min="1542" max="1542" width="6.42578125" style="27" customWidth="1"/>
    <col min="1543" max="1543" width="4.5703125" style="27" customWidth="1"/>
    <col min="1544" max="1544" width="6.140625" style="27" customWidth="1"/>
    <col min="1545" max="1546" width="4.7109375" style="27" customWidth="1"/>
    <col min="1547" max="1547" width="5.140625" style="27" customWidth="1"/>
    <col min="1548" max="1548" width="8.5703125" style="27" customWidth="1"/>
    <col min="1549" max="1549" width="9.5703125" style="27" customWidth="1"/>
    <col min="1550" max="1550" width="8.7109375" style="27" customWidth="1"/>
    <col min="1551" max="1551" width="9.28515625" style="27" customWidth="1"/>
    <col min="1552" max="1552" width="8.7109375" style="27" customWidth="1"/>
    <col min="1553" max="1553" width="9.28515625" style="27" customWidth="1"/>
    <col min="1554" max="1554" width="8.7109375" style="27" customWidth="1"/>
    <col min="1555" max="1555" width="9.28515625" style="27" customWidth="1"/>
    <col min="1556" max="1792" width="9.140625" style="27"/>
    <col min="1793" max="1793" width="1.42578125" style="27" customWidth="1"/>
    <col min="1794" max="1794" width="3.42578125" style="27" customWidth="1"/>
    <col min="1795" max="1795" width="11.42578125" style="27" customWidth="1"/>
    <col min="1796" max="1796" width="7.28515625" style="27" customWidth="1"/>
    <col min="1797" max="1797" width="14" style="27" customWidth="1"/>
    <col min="1798" max="1798" width="6.42578125" style="27" customWidth="1"/>
    <col min="1799" max="1799" width="4.5703125" style="27" customWidth="1"/>
    <col min="1800" max="1800" width="6.140625" style="27" customWidth="1"/>
    <col min="1801" max="1802" width="4.7109375" style="27" customWidth="1"/>
    <col min="1803" max="1803" width="5.140625" style="27" customWidth="1"/>
    <col min="1804" max="1804" width="8.5703125" style="27" customWidth="1"/>
    <col min="1805" max="1805" width="9.5703125" style="27" customWidth="1"/>
    <col min="1806" max="1806" width="8.7109375" style="27" customWidth="1"/>
    <col min="1807" max="1807" width="9.28515625" style="27" customWidth="1"/>
    <col min="1808" max="1808" width="8.7109375" style="27" customWidth="1"/>
    <col min="1809" max="1809" width="9.28515625" style="27" customWidth="1"/>
    <col min="1810" max="1810" width="8.7109375" style="27" customWidth="1"/>
    <col min="1811" max="1811" width="9.28515625" style="27" customWidth="1"/>
    <col min="1812" max="2048" width="9.140625" style="27"/>
    <col min="2049" max="2049" width="1.42578125" style="27" customWidth="1"/>
    <col min="2050" max="2050" width="3.42578125" style="27" customWidth="1"/>
    <col min="2051" max="2051" width="11.42578125" style="27" customWidth="1"/>
    <col min="2052" max="2052" width="7.28515625" style="27" customWidth="1"/>
    <col min="2053" max="2053" width="14" style="27" customWidth="1"/>
    <col min="2054" max="2054" width="6.42578125" style="27" customWidth="1"/>
    <col min="2055" max="2055" width="4.5703125" style="27" customWidth="1"/>
    <col min="2056" max="2056" width="6.140625" style="27" customWidth="1"/>
    <col min="2057" max="2058" width="4.7109375" style="27" customWidth="1"/>
    <col min="2059" max="2059" width="5.140625" style="27" customWidth="1"/>
    <col min="2060" max="2060" width="8.5703125" style="27" customWidth="1"/>
    <col min="2061" max="2061" width="9.5703125" style="27" customWidth="1"/>
    <col min="2062" max="2062" width="8.7109375" style="27" customWidth="1"/>
    <col min="2063" max="2063" width="9.28515625" style="27" customWidth="1"/>
    <col min="2064" max="2064" width="8.7109375" style="27" customWidth="1"/>
    <col min="2065" max="2065" width="9.28515625" style="27" customWidth="1"/>
    <col min="2066" max="2066" width="8.7109375" style="27" customWidth="1"/>
    <col min="2067" max="2067" width="9.28515625" style="27" customWidth="1"/>
    <col min="2068" max="2304" width="9.140625" style="27"/>
    <col min="2305" max="2305" width="1.42578125" style="27" customWidth="1"/>
    <col min="2306" max="2306" width="3.42578125" style="27" customWidth="1"/>
    <col min="2307" max="2307" width="11.42578125" style="27" customWidth="1"/>
    <col min="2308" max="2308" width="7.28515625" style="27" customWidth="1"/>
    <col min="2309" max="2309" width="14" style="27" customWidth="1"/>
    <col min="2310" max="2310" width="6.42578125" style="27" customWidth="1"/>
    <col min="2311" max="2311" width="4.5703125" style="27" customWidth="1"/>
    <col min="2312" max="2312" width="6.140625" style="27" customWidth="1"/>
    <col min="2313" max="2314" width="4.7109375" style="27" customWidth="1"/>
    <col min="2315" max="2315" width="5.140625" style="27" customWidth="1"/>
    <col min="2316" max="2316" width="8.5703125" style="27" customWidth="1"/>
    <col min="2317" max="2317" width="9.5703125" style="27" customWidth="1"/>
    <col min="2318" max="2318" width="8.7109375" style="27" customWidth="1"/>
    <col min="2319" max="2319" width="9.28515625" style="27" customWidth="1"/>
    <col min="2320" max="2320" width="8.7109375" style="27" customWidth="1"/>
    <col min="2321" max="2321" width="9.28515625" style="27" customWidth="1"/>
    <col min="2322" max="2322" width="8.7109375" style="27" customWidth="1"/>
    <col min="2323" max="2323" width="9.28515625" style="27" customWidth="1"/>
    <col min="2324" max="2560" width="9.140625" style="27"/>
    <col min="2561" max="2561" width="1.42578125" style="27" customWidth="1"/>
    <col min="2562" max="2562" width="3.42578125" style="27" customWidth="1"/>
    <col min="2563" max="2563" width="11.42578125" style="27" customWidth="1"/>
    <col min="2564" max="2564" width="7.28515625" style="27" customWidth="1"/>
    <col min="2565" max="2565" width="14" style="27" customWidth="1"/>
    <col min="2566" max="2566" width="6.42578125" style="27" customWidth="1"/>
    <col min="2567" max="2567" width="4.5703125" style="27" customWidth="1"/>
    <col min="2568" max="2568" width="6.140625" style="27" customWidth="1"/>
    <col min="2569" max="2570" width="4.7109375" style="27" customWidth="1"/>
    <col min="2571" max="2571" width="5.140625" style="27" customWidth="1"/>
    <col min="2572" max="2572" width="8.5703125" style="27" customWidth="1"/>
    <col min="2573" max="2573" width="9.5703125" style="27" customWidth="1"/>
    <col min="2574" max="2574" width="8.7109375" style="27" customWidth="1"/>
    <col min="2575" max="2575" width="9.28515625" style="27" customWidth="1"/>
    <col min="2576" max="2576" width="8.7109375" style="27" customWidth="1"/>
    <col min="2577" max="2577" width="9.28515625" style="27" customWidth="1"/>
    <col min="2578" max="2578" width="8.7109375" style="27" customWidth="1"/>
    <col min="2579" max="2579" width="9.28515625" style="27" customWidth="1"/>
    <col min="2580" max="2816" width="9.140625" style="27"/>
    <col min="2817" max="2817" width="1.42578125" style="27" customWidth="1"/>
    <col min="2818" max="2818" width="3.42578125" style="27" customWidth="1"/>
    <col min="2819" max="2819" width="11.42578125" style="27" customWidth="1"/>
    <col min="2820" max="2820" width="7.28515625" style="27" customWidth="1"/>
    <col min="2821" max="2821" width="14" style="27" customWidth="1"/>
    <col min="2822" max="2822" width="6.42578125" style="27" customWidth="1"/>
    <col min="2823" max="2823" width="4.5703125" style="27" customWidth="1"/>
    <col min="2824" max="2824" width="6.140625" style="27" customWidth="1"/>
    <col min="2825" max="2826" width="4.7109375" style="27" customWidth="1"/>
    <col min="2827" max="2827" width="5.140625" style="27" customWidth="1"/>
    <col min="2828" max="2828" width="8.5703125" style="27" customWidth="1"/>
    <col min="2829" max="2829" width="9.5703125" style="27" customWidth="1"/>
    <col min="2830" max="2830" width="8.7109375" style="27" customWidth="1"/>
    <col min="2831" max="2831" width="9.28515625" style="27" customWidth="1"/>
    <col min="2832" max="2832" width="8.7109375" style="27" customWidth="1"/>
    <col min="2833" max="2833" width="9.28515625" style="27" customWidth="1"/>
    <col min="2834" max="2834" width="8.7109375" style="27" customWidth="1"/>
    <col min="2835" max="2835" width="9.28515625" style="27" customWidth="1"/>
    <col min="2836" max="3072" width="9.140625" style="27"/>
    <col min="3073" max="3073" width="1.42578125" style="27" customWidth="1"/>
    <col min="3074" max="3074" width="3.42578125" style="27" customWidth="1"/>
    <col min="3075" max="3075" width="11.42578125" style="27" customWidth="1"/>
    <col min="3076" max="3076" width="7.28515625" style="27" customWidth="1"/>
    <col min="3077" max="3077" width="14" style="27" customWidth="1"/>
    <col min="3078" max="3078" width="6.42578125" style="27" customWidth="1"/>
    <col min="3079" max="3079" width="4.5703125" style="27" customWidth="1"/>
    <col min="3080" max="3080" width="6.140625" style="27" customWidth="1"/>
    <col min="3081" max="3082" width="4.7109375" style="27" customWidth="1"/>
    <col min="3083" max="3083" width="5.140625" style="27" customWidth="1"/>
    <col min="3084" max="3084" width="8.5703125" style="27" customWidth="1"/>
    <col min="3085" max="3085" width="9.5703125" style="27" customWidth="1"/>
    <col min="3086" max="3086" width="8.7109375" style="27" customWidth="1"/>
    <col min="3087" max="3087" width="9.28515625" style="27" customWidth="1"/>
    <col min="3088" max="3088" width="8.7109375" style="27" customWidth="1"/>
    <col min="3089" max="3089" width="9.28515625" style="27" customWidth="1"/>
    <col min="3090" max="3090" width="8.7109375" style="27" customWidth="1"/>
    <col min="3091" max="3091" width="9.28515625" style="27" customWidth="1"/>
    <col min="3092" max="3328" width="9.140625" style="27"/>
    <col min="3329" max="3329" width="1.42578125" style="27" customWidth="1"/>
    <col min="3330" max="3330" width="3.42578125" style="27" customWidth="1"/>
    <col min="3331" max="3331" width="11.42578125" style="27" customWidth="1"/>
    <col min="3332" max="3332" width="7.28515625" style="27" customWidth="1"/>
    <col min="3333" max="3333" width="14" style="27" customWidth="1"/>
    <col min="3334" max="3334" width="6.42578125" style="27" customWidth="1"/>
    <col min="3335" max="3335" width="4.5703125" style="27" customWidth="1"/>
    <col min="3336" max="3336" width="6.140625" style="27" customWidth="1"/>
    <col min="3337" max="3338" width="4.7109375" style="27" customWidth="1"/>
    <col min="3339" max="3339" width="5.140625" style="27" customWidth="1"/>
    <col min="3340" max="3340" width="8.5703125" style="27" customWidth="1"/>
    <col min="3341" max="3341" width="9.5703125" style="27" customWidth="1"/>
    <col min="3342" max="3342" width="8.7109375" style="27" customWidth="1"/>
    <col min="3343" max="3343" width="9.28515625" style="27" customWidth="1"/>
    <col min="3344" max="3344" width="8.7109375" style="27" customWidth="1"/>
    <col min="3345" max="3345" width="9.28515625" style="27" customWidth="1"/>
    <col min="3346" max="3346" width="8.7109375" style="27" customWidth="1"/>
    <col min="3347" max="3347" width="9.28515625" style="27" customWidth="1"/>
    <col min="3348" max="3584" width="9.140625" style="27"/>
    <col min="3585" max="3585" width="1.42578125" style="27" customWidth="1"/>
    <col min="3586" max="3586" width="3.42578125" style="27" customWidth="1"/>
    <col min="3587" max="3587" width="11.42578125" style="27" customWidth="1"/>
    <col min="3588" max="3588" width="7.28515625" style="27" customWidth="1"/>
    <col min="3589" max="3589" width="14" style="27" customWidth="1"/>
    <col min="3590" max="3590" width="6.42578125" style="27" customWidth="1"/>
    <col min="3591" max="3591" width="4.5703125" style="27" customWidth="1"/>
    <col min="3592" max="3592" width="6.140625" style="27" customWidth="1"/>
    <col min="3593" max="3594" width="4.7109375" style="27" customWidth="1"/>
    <col min="3595" max="3595" width="5.140625" style="27" customWidth="1"/>
    <col min="3596" max="3596" width="8.5703125" style="27" customWidth="1"/>
    <col min="3597" max="3597" width="9.5703125" style="27" customWidth="1"/>
    <col min="3598" max="3598" width="8.7109375" style="27" customWidth="1"/>
    <col min="3599" max="3599" width="9.28515625" style="27" customWidth="1"/>
    <col min="3600" max="3600" width="8.7109375" style="27" customWidth="1"/>
    <col min="3601" max="3601" width="9.28515625" style="27" customWidth="1"/>
    <col min="3602" max="3602" width="8.7109375" style="27" customWidth="1"/>
    <col min="3603" max="3603" width="9.28515625" style="27" customWidth="1"/>
    <col min="3604" max="3840" width="9.140625" style="27"/>
    <col min="3841" max="3841" width="1.42578125" style="27" customWidth="1"/>
    <col min="3842" max="3842" width="3.42578125" style="27" customWidth="1"/>
    <col min="3843" max="3843" width="11.42578125" style="27" customWidth="1"/>
    <col min="3844" max="3844" width="7.28515625" style="27" customWidth="1"/>
    <col min="3845" max="3845" width="14" style="27" customWidth="1"/>
    <col min="3846" max="3846" width="6.42578125" style="27" customWidth="1"/>
    <col min="3847" max="3847" width="4.5703125" style="27" customWidth="1"/>
    <col min="3848" max="3848" width="6.140625" style="27" customWidth="1"/>
    <col min="3849" max="3850" width="4.7109375" style="27" customWidth="1"/>
    <col min="3851" max="3851" width="5.140625" style="27" customWidth="1"/>
    <col min="3852" max="3852" width="8.5703125" style="27" customWidth="1"/>
    <col min="3853" max="3853" width="9.5703125" style="27" customWidth="1"/>
    <col min="3854" max="3854" width="8.7109375" style="27" customWidth="1"/>
    <col min="3855" max="3855" width="9.28515625" style="27" customWidth="1"/>
    <col min="3856" max="3856" width="8.7109375" style="27" customWidth="1"/>
    <col min="3857" max="3857" width="9.28515625" style="27" customWidth="1"/>
    <col min="3858" max="3858" width="8.7109375" style="27" customWidth="1"/>
    <col min="3859" max="3859" width="9.28515625" style="27" customWidth="1"/>
    <col min="3860" max="4096" width="9.140625" style="27"/>
    <col min="4097" max="4097" width="1.42578125" style="27" customWidth="1"/>
    <col min="4098" max="4098" width="3.42578125" style="27" customWidth="1"/>
    <col min="4099" max="4099" width="11.42578125" style="27" customWidth="1"/>
    <col min="4100" max="4100" width="7.28515625" style="27" customWidth="1"/>
    <col min="4101" max="4101" width="14" style="27" customWidth="1"/>
    <col min="4102" max="4102" width="6.42578125" style="27" customWidth="1"/>
    <col min="4103" max="4103" width="4.5703125" style="27" customWidth="1"/>
    <col min="4104" max="4104" width="6.140625" style="27" customWidth="1"/>
    <col min="4105" max="4106" width="4.7109375" style="27" customWidth="1"/>
    <col min="4107" max="4107" width="5.140625" style="27" customWidth="1"/>
    <col min="4108" max="4108" width="8.5703125" style="27" customWidth="1"/>
    <col min="4109" max="4109" width="9.5703125" style="27" customWidth="1"/>
    <col min="4110" max="4110" width="8.7109375" style="27" customWidth="1"/>
    <col min="4111" max="4111" width="9.28515625" style="27" customWidth="1"/>
    <col min="4112" max="4112" width="8.7109375" style="27" customWidth="1"/>
    <col min="4113" max="4113" width="9.28515625" style="27" customWidth="1"/>
    <col min="4114" max="4114" width="8.7109375" style="27" customWidth="1"/>
    <col min="4115" max="4115" width="9.28515625" style="27" customWidth="1"/>
    <col min="4116" max="4352" width="9.140625" style="27"/>
    <col min="4353" max="4353" width="1.42578125" style="27" customWidth="1"/>
    <col min="4354" max="4354" width="3.42578125" style="27" customWidth="1"/>
    <col min="4355" max="4355" width="11.42578125" style="27" customWidth="1"/>
    <col min="4356" max="4356" width="7.28515625" style="27" customWidth="1"/>
    <col min="4357" max="4357" width="14" style="27" customWidth="1"/>
    <col min="4358" max="4358" width="6.42578125" style="27" customWidth="1"/>
    <col min="4359" max="4359" width="4.5703125" style="27" customWidth="1"/>
    <col min="4360" max="4360" width="6.140625" style="27" customWidth="1"/>
    <col min="4361" max="4362" width="4.7109375" style="27" customWidth="1"/>
    <col min="4363" max="4363" width="5.140625" style="27" customWidth="1"/>
    <col min="4364" max="4364" width="8.5703125" style="27" customWidth="1"/>
    <col min="4365" max="4365" width="9.5703125" style="27" customWidth="1"/>
    <col min="4366" max="4366" width="8.7109375" style="27" customWidth="1"/>
    <col min="4367" max="4367" width="9.28515625" style="27" customWidth="1"/>
    <col min="4368" max="4368" width="8.7109375" style="27" customWidth="1"/>
    <col min="4369" max="4369" width="9.28515625" style="27" customWidth="1"/>
    <col min="4370" max="4370" width="8.7109375" style="27" customWidth="1"/>
    <col min="4371" max="4371" width="9.28515625" style="27" customWidth="1"/>
    <col min="4372" max="4608" width="9.140625" style="27"/>
    <col min="4609" max="4609" width="1.42578125" style="27" customWidth="1"/>
    <col min="4610" max="4610" width="3.42578125" style="27" customWidth="1"/>
    <col min="4611" max="4611" width="11.42578125" style="27" customWidth="1"/>
    <col min="4612" max="4612" width="7.28515625" style="27" customWidth="1"/>
    <col min="4613" max="4613" width="14" style="27" customWidth="1"/>
    <col min="4614" max="4614" width="6.42578125" style="27" customWidth="1"/>
    <col min="4615" max="4615" width="4.5703125" style="27" customWidth="1"/>
    <col min="4616" max="4616" width="6.140625" style="27" customWidth="1"/>
    <col min="4617" max="4618" width="4.7109375" style="27" customWidth="1"/>
    <col min="4619" max="4619" width="5.140625" style="27" customWidth="1"/>
    <col min="4620" max="4620" width="8.5703125" style="27" customWidth="1"/>
    <col min="4621" max="4621" width="9.5703125" style="27" customWidth="1"/>
    <col min="4622" max="4622" width="8.7109375" style="27" customWidth="1"/>
    <col min="4623" max="4623" width="9.28515625" style="27" customWidth="1"/>
    <col min="4624" max="4624" width="8.7109375" style="27" customWidth="1"/>
    <col min="4625" max="4625" width="9.28515625" style="27" customWidth="1"/>
    <col min="4626" max="4626" width="8.7109375" style="27" customWidth="1"/>
    <col min="4627" max="4627" width="9.28515625" style="27" customWidth="1"/>
    <col min="4628" max="4864" width="9.140625" style="27"/>
    <col min="4865" max="4865" width="1.42578125" style="27" customWidth="1"/>
    <col min="4866" max="4866" width="3.42578125" style="27" customWidth="1"/>
    <col min="4867" max="4867" width="11.42578125" style="27" customWidth="1"/>
    <col min="4868" max="4868" width="7.28515625" style="27" customWidth="1"/>
    <col min="4869" max="4869" width="14" style="27" customWidth="1"/>
    <col min="4870" max="4870" width="6.42578125" style="27" customWidth="1"/>
    <col min="4871" max="4871" width="4.5703125" style="27" customWidth="1"/>
    <col min="4872" max="4872" width="6.140625" style="27" customWidth="1"/>
    <col min="4873" max="4874" width="4.7109375" style="27" customWidth="1"/>
    <col min="4875" max="4875" width="5.140625" style="27" customWidth="1"/>
    <col min="4876" max="4876" width="8.5703125" style="27" customWidth="1"/>
    <col min="4877" max="4877" width="9.5703125" style="27" customWidth="1"/>
    <col min="4878" max="4878" width="8.7109375" style="27" customWidth="1"/>
    <col min="4879" max="4879" width="9.28515625" style="27" customWidth="1"/>
    <col min="4880" max="4880" width="8.7109375" style="27" customWidth="1"/>
    <col min="4881" max="4881" width="9.28515625" style="27" customWidth="1"/>
    <col min="4882" max="4882" width="8.7109375" style="27" customWidth="1"/>
    <col min="4883" max="4883" width="9.28515625" style="27" customWidth="1"/>
    <col min="4884" max="5120" width="9.140625" style="27"/>
    <col min="5121" max="5121" width="1.42578125" style="27" customWidth="1"/>
    <col min="5122" max="5122" width="3.42578125" style="27" customWidth="1"/>
    <col min="5123" max="5123" width="11.42578125" style="27" customWidth="1"/>
    <col min="5124" max="5124" width="7.28515625" style="27" customWidth="1"/>
    <col min="5125" max="5125" width="14" style="27" customWidth="1"/>
    <col min="5126" max="5126" width="6.42578125" style="27" customWidth="1"/>
    <col min="5127" max="5127" width="4.5703125" style="27" customWidth="1"/>
    <col min="5128" max="5128" width="6.140625" style="27" customWidth="1"/>
    <col min="5129" max="5130" width="4.7109375" style="27" customWidth="1"/>
    <col min="5131" max="5131" width="5.140625" style="27" customWidth="1"/>
    <col min="5132" max="5132" width="8.5703125" style="27" customWidth="1"/>
    <col min="5133" max="5133" width="9.5703125" style="27" customWidth="1"/>
    <col min="5134" max="5134" width="8.7109375" style="27" customWidth="1"/>
    <col min="5135" max="5135" width="9.28515625" style="27" customWidth="1"/>
    <col min="5136" max="5136" width="8.7109375" style="27" customWidth="1"/>
    <col min="5137" max="5137" width="9.28515625" style="27" customWidth="1"/>
    <col min="5138" max="5138" width="8.7109375" style="27" customWidth="1"/>
    <col min="5139" max="5139" width="9.28515625" style="27" customWidth="1"/>
    <col min="5140" max="5376" width="9.140625" style="27"/>
    <col min="5377" max="5377" width="1.42578125" style="27" customWidth="1"/>
    <col min="5378" max="5378" width="3.42578125" style="27" customWidth="1"/>
    <col min="5379" max="5379" width="11.42578125" style="27" customWidth="1"/>
    <col min="5380" max="5380" width="7.28515625" style="27" customWidth="1"/>
    <col min="5381" max="5381" width="14" style="27" customWidth="1"/>
    <col min="5382" max="5382" width="6.42578125" style="27" customWidth="1"/>
    <col min="5383" max="5383" width="4.5703125" style="27" customWidth="1"/>
    <col min="5384" max="5384" width="6.140625" style="27" customWidth="1"/>
    <col min="5385" max="5386" width="4.7109375" style="27" customWidth="1"/>
    <col min="5387" max="5387" width="5.140625" style="27" customWidth="1"/>
    <col min="5388" max="5388" width="8.5703125" style="27" customWidth="1"/>
    <col min="5389" max="5389" width="9.5703125" style="27" customWidth="1"/>
    <col min="5390" max="5390" width="8.7109375" style="27" customWidth="1"/>
    <col min="5391" max="5391" width="9.28515625" style="27" customWidth="1"/>
    <col min="5392" max="5392" width="8.7109375" style="27" customWidth="1"/>
    <col min="5393" max="5393" width="9.28515625" style="27" customWidth="1"/>
    <col min="5394" max="5394" width="8.7109375" style="27" customWidth="1"/>
    <col min="5395" max="5395" width="9.28515625" style="27" customWidth="1"/>
    <col min="5396" max="5632" width="9.140625" style="27"/>
    <col min="5633" max="5633" width="1.42578125" style="27" customWidth="1"/>
    <col min="5634" max="5634" width="3.42578125" style="27" customWidth="1"/>
    <col min="5635" max="5635" width="11.42578125" style="27" customWidth="1"/>
    <col min="5636" max="5636" width="7.28515625" style="27" customWidth="1"/>
    <col min="5637" max="5637" width="14" style="27" customWidth="1"/>
    <col min="5638" max="5638" width="6.42578125" style="27" customWidth="1"/>
    <col min="5639" max="5639" width="4.5703125" style="27" customWidth="1"/>
    <col min="5640" max="5640" width="6.140625" style="27" customWidth="1"/>
    <col min="5641" max="5642" width="4.7109375" style="27" customWidth="1"/>
    <col min="5643" max="5643" width="5.140625" style="27" customWidth="1"/>
    <col min="5644" max="5644" width="8.5703125" style="27" customWidth="1"/>
    <col min="5645" max="5645" width="9.5703125" style="27" customWidth="1"/>
    <col min="5646" max="5646" width="8.7109375" style="27" customWidth="1"/>
    <col min="5647" max="5647" width="9.28515625" style="27" customWidth="1"/>
    <col min="5648" max="5648" width="8.7109375" style="27" customWidth="1"/>
    <col min="5649" max="5649" width="9.28515625" style="27" customWidth="1"/>
    <col min="5650" max="5650" width="8.7109375" style="27" customWidth="1"/>
    <col min="5651" max="5651" width="9.28515625" style="27" customWidth="1"/>
    <col min="5652" max="5888" width="9.140625" style="27"/>
    <col min="5889" max="5889" width="1.42578125" style="27" customWidth="1"/>
    <col min="5890" max="5890" width="3.42578125" style="27" customWidth="1"/>
    <col min="5891" max="5891" width="11.42578125" style="27" customWidth="1"/>
    <col min="5892" max="5892" width="7.28515625" style="27" customWidth="1"/>
    <col min="5893" max="5893" width="14" style="27" customWidth="1"/>
    <col min="5894" max="5894" width="6.42578125" style="27" customWidth="1"/>
    <col min="5895" max="5895" width="4.5703125" style="27" customWidth="1"/>
    <col min="5896" max="5896" width="6.140625" style="27" customWidth="1"/>
    <col min="5897" max="5898" width="4.7109375" style="27" customWidth="1"/>
    <col min="5899" max="5899" width="5.140625" style="27" customWidth="1"/>
    <col min="5900" max="5900" width="8.5703125" style="27" customWidth="1"/>
    <col min="5901" max="5901" width="9.5703125" style="27" customWidth="1"/>
    <col min="5902" max="5902" width="8.7109375" style="27" customWidth="1"/>
    <col min="5903" max="5903" width="9.28515625" style="27" customWidth="1"/>
    <col min="5904" max="5904" width="8.7109375" style="27" customWidth="1"/>
    <col min="5905" max="5905" width="9.28515625" style="27" customWidth="1"/>
    <col min="5906" max="5906" width="8.7109375" style="27" customWidth="1"/>
    <col min="5907" max="5907" width="9.28515625" style="27" customWidth="1"/>
    <col min="5908" max="6144" width="9.140625" style="27"/>
    <col min="6145" max="6145" width="1.42578125" style="27" customWidth="1"/>
    <col min="6146" max="6146" width="3.42578125" style="27" customWidth="1"/>
    <col min="6147" max="6147" width="11.42578125" style="27" customWidth="1"/>
    <col min="6148" max="6148" width="7.28515625" style="27" customWidth="1"/>
    <col min="6149" max="6149" width="14" style="27" customWidth="1"/>
    <col min="6150" max="6150" width="6.42578125" style="27" customWidth="1"/>
    <col min="6151" max="6151" width="4.5703125" style="27" customWidth="1"/>
    <col min="6152" max="6152" width="6.140625" style="27" customWidth="1"/>
    <col min="6153" max="6154" width="4.7109375" style="27" customWidth="1"/>
    <col min="6155" max="6155" width="5.140625" style="27" customWidth="1"/>
    <col min="6156" max="6156" width="8.5703125" style="27" customWidth="1"/>
    <col min="6157" max="6157" width="9.5703125" style="27" customWidth="1"/>
    <col min="6158" max="6158" width="8.7109375" style="27" customWidth="1"/>
    <col min="6159" max="6159" width="9.28515625" style="27" customWidth="1"/>
    <col min="6160" max="6160" width="8.7109375" style="27" customWidth="1"/>
    <col min="6161" max="6161" width="9.28515625" style="27" customWidth="1"/>
    <col min="6162" max="6162" width="8.7109375" style="27" customWidth="1"/>
    <col min="6163" max="6163" width="9.28515625" style="27" customWidth="1"/>
    <col min="6164" max="6400" width="9.140625" style="27"/>
    <col min="6401" max="6401" width="1.42578125" style="27" customWidth="1"/>
    <col min="6402" max="6402" width="3.42578125" style="27" customWidth="1"/>
    <col min="6403" max="6403" width="11.42578125" style="27" customWidth="1"/>
    <col min="6404" max="6404" width="7.28515625" style="27" customWidth="1"/>
    <col min="6405" max="6405" width="14" style="27" customWidth="1"/>
    <col min="6406" max="6406" width="6.42578125" style="27" customWidth="1"/>
    <col min="6407" max="6407" width="4.5703125" style="27" customWidth="1"/>
    <col min="6408" max="6408" width="6.140625" style="27" customWidth="1"/>
    <col min="6409" max="6410" width="4.7109375" style="27" customWidth="1"/>
    <col min="6411" max="6411" width="5.140625" style="27" customWidth="1"/>
    <col min="6412" max="6412" width="8.5703125" style="27" customWidth="1"/>
    <col min="6413" max="6413" width="9.5703125" style="27" customWidth="1"/>
    <col min="6414" max="6414" width="8.7109375" style="27" customWidth="1"/>
    <col min="6415" max="6415" width="9.28515625" style="27" customWidth="1"/>
    <col min="6416" max="6416" width="8.7109375" style="27" customWidth="1"/>
    <col min="6417" max="6417" width="9.28515625" style="27" customWidth="1"/>
    <col min="6418" max="6418" width="8.7109375" style="27" customWidth="1"/>
    <col min="6419" max="6419" width="9.28515625" style="27" customWidth="1"/>
    <col min="6420" max="6656" width="9.140625" style="27"/>
    <col min="6657" max="6657" width="1.42578125" style="27" customWidth="1"/>
    <col min="6658" max="6658" width="3.42578125" style="27" customWidth="1"/>
    <col min="6659" max="6659" width="11.42578125" style="27" customWidth="1"/>
    <col min="6660" max="6660" width="7.28515625" style="27" customWidth="1"/>
    <col min="6661" max="6661" width="14" style="27" customWidth="1"/>
    <col min="6662" max="6662" width="6.42578125" style="27" customWidth="1"/>
    <col min="6663" max="6663" width="4.5703125" style="27" customWidth="1"/>
    <col min="6664" max="6664" width="6.140625" style="27" customWidth="1"/>
    <col min="6665" max="6666" width="4.7109375" style="27" customWidth="1"/>
    <col min="6667" max="6667" width="5.140625" style="27" customWidth="1"/>
    <col min="6668" max="6668" width="8.5703125" style="27" customWidth="1"/>
    <col min="6669" max="6669" width="9.5703125" style="27" customWidth="1"/>
    <col min="6670" max="6670" width="8.7109375" style="27" customWidth="1"/>
    <col min="6671" max="6671" width="9.28515625" style="27" customWidth="1"/>
    <col min="6672" max="6672" width="8.7109375" style="27" customWidth="1"/>
    <col min="6673" max="6673" width="9.28515625" style="27" customWidth="1"/>
    <col min="6674" max="6674" width="8.7109375" style="27" customWidth="1"/>
    <col min="6675" max="6675" width="9.28515625" style="27" customWidth="1"/>
    <col min="6676" max="6912" width="9.140625" style="27"/>
    <col min="6913" max="6913" width="1.42578125" style="27" customWidth="1"/>
    <col min="6914" max="6914" width="3.42578125" style="27" customWidth="1"/>
    <col min="6915" max="6915" width="11.42578125" style="27" customWidth="1"/>
    <col min="6916" max="6916" width="7.28515625" style="27" customWidth="1"/>
    <col min="6917" max="6917" width="14" style="27" customWidth="1"/>
    <col min="6918" max="6918" width="6.42578125" style="27" customWidth="1"/>
    <col min="6919" max="6919" width="4.5703125" style="27" customWidth="1"/>
    <col min="6920" max="6920" width="6.140625" style="27" customWidth="1"/>
    <col min="6921" max="6922" width="4.7109375" style="27" customWidth="1"/>
    <col min="6923" max="6923" width="5.140625" style="27" customWidth="1"/>
    <col min="6924" max="6924" width="8.5703125" style="27" customWidth="1"/>
    <col min="6925" max="6925" width="9.5703125" style="27" customWidth="1"/>
    <col min="6926" max="6926" width="8.7109375" style="27" customWidth="1"/>
    <col min="6927" max="6927" width="9.28515625" style="27" customWidth="1"/>
    <col min="6928" max="6928" width="8.7109375" style="27" customWidth="1"/>
    <col min="6929" max="6929" width="9.28515625" style="27" customWidth="1"/>
    <col min="6930" max="6930" width="8.7109375" style="27" customWidth="1"/>
    <col min="6931" max="6931" width="9.28515625" style="27" customWidth="1"/>
    <col min="6932" max="7168" width="9.140625" style="27"/>
    <col min="7169" max="7169" width="1.42578125" style="27" customWidth="1"/>
    <col min="7170" max="7170" width="3.42578125" style="27" customWidth="1"/>
    <col min="7171" max="7171" width="11.42578125" style="27" customWidth="1"/>
    <col min="7172" max="7172" width="7.28515625" style="27" customWidth="1"/>
    <col min="7173" max="7173" width="14" style="27" customWidth="1"/>
    <col min="7174" max="7174" width="6.42578125" style="27" customWidth="1"/>
    <col min="7175" max="7175" width="4.5703125" style="27" customWidth="1"/>
    <col min="7176" max="7176" width="6.140625" style="27" customWidth="1"/>
    <col min="7177" max="7178" width="4.7109375" style="27" customWidth="1"/>
    <col min="7179" max="7179" width="5.140625" style="27" customWidth="1"/>
    <col min="7180" max="7180" width="8.5703125" style="27" customWidth="1"/>
    <col min="7181" max="7181" width="9.5703125" style="27" customWidth="1"/>
    <col min="7182" max="7182" width="8.7109375" style="27" customWidth="1"/>
    <col min="7183" max="7183" width="9.28515625" style="27" customWidth="1"/>
    <col min="7184" max="7184" width="8.7109375" style="27" customWidth="1"/>
    <col min="7185" max="7185" width="9.28515625" style="27" customWidth="1"/>
    <col min="7186" max="7186" width="8.7109375" style="27" customWidth="1"/>
    <col min="7187" max="7187" width="9.28515625" style="27" customWidth="1"/>
    <col min="7188" max="7424" width="9.140625" style="27"/>
    <col min="7425" max="7425" width="1.42578125" style="27" customWidth="1"/>
    <col min="7426" max="7426" width="3.42578125" style="27" customWidth="1"/>
    <col min="7427" max="7427" width="11.42578125" style="27" customWidth="1"/>
    <col min="7428" max="7428" width="7.28515625" style="27" customWidth="1"/>
    <col min="7429" max="7429" width="14" style="27" customWidth="1"/>
    <col min="7430" max="7430" width="6.42578125" style="27" customWidth="1"/>
    <col min="7431" max="7431" width="4.5703125" style="27" customWidth="1"/>
    <col min="7432" max="7432" width="6.140625" style="27" customWidth="1"/>
    <col min="7433" max="7434" width="4.7109375" style="27" customWidth="1"/>
    <col min="7435" max="7435" width="5.140625" style="27" customWidth="1"/>
    <col min="7436" max="7436" width="8.5703125" style="27" customWidth="1"/>
    <col min="7437" max="7437" width="9.5703125" style="27" customWidth="1"/>
    <col min="7438" max="7438" width="8.7109375" style="27" customWidth="1"/>
    <col min="7439" max="7439" width="9.28515625" style="27" customWidth="1"/>
    <col min="7440" max="7440" width="8.7109375" style="27" customWidth="1"/>
    <col min="7441" max="7441" width="9.28515625" style="27" customWidth="1"/>
    <col min="7442" max="7442" width="8.7109375" style="27" customWidth="1"/>
    <col min="7443" max="7443" width="9.28515625" style="27" customWidth="1"/>
    <col min="7444" max="7680" width="9.140625" style="27"/>
    <col min="7681" max="7681" width="1.42578125" style="27" customWidth="1"/>
    <col min="7682" max="7682" width="3.42578125" style="27" customWidth="1"/>
    <col min="7683" max="7683" width="11.42578125" style="27" customWidth="1"/>
    <col min="7684" max="7684" width="7.28515625" style="27" customWidth="1"/>
    <col min="7685" max="7685" width="14" style="27" customWidth="1"/>
    <col min="7686" max="7686" width="6.42578125" style="27" customWidth="1"/>
    <col min="7687" max="7687" width="4.5703125" style="27" customWidth="1"/>
    <col min="7688" max="7688" width="6.140625" style="27" customWidth="1"/>
    <col min="7689" max="7690" width="4.7109375" style="27" customWidth="1"/>
    <col min="7691" max="7691" width="5.140625" style="27" customWidth="1"/>
    <col min="7692" max="7692" width="8.5703125" style="27" customWidth="1"/>
    <col min="7693" max="7693" width="9.5703125" style="27" customWidth="1"/>
    <col min="7694" max="7694" width="8.7109375" style="27" customWidth="1"/>
    <col min="7695" max="7695" width="9.28515625" style="27" customWidth="1"/>
    <col min="7696" max="7696" width="8.7109375" style="27" customWidth="1"/>
    <col min="7697" max="7697" width="9.28515625" style="27" customWidth="1"/>
    <col min="7698" max="7698" width="8.7109375" style="27" customWidth="1"/>
    <col min="7699" max="7699" width="9.28515625" style="27" customWidth="1"/>
    <col min="7700" max="7936" width="9.140625" style="27"/>
    <col min="7937" max="7937" width="1.42578125" style="27" customWidth="1"/>
    <col min="7938" max="7938" width="3.42578125" style="27" customWidth="1"/>
    <col min="7939" max="7939" width="11.42578125" style="27" customWidth="1"/>
    <col min="7940" max="7940" width="7.28515625" style="27" customWidth="1"/>
    <col min="7941" max="7941" width="14" style="27" customWidth="1"/>
    <col min="7942" max="7942" width="6.42578125" style="27" customWidth="1"/>
    <col min="7943" max="7943" width="4.5703125" style="27" customWidth="1"/>
    <col min="7944" max="7944" width="6.140625" style="27" customWidth="1"/>
    <col min="7945" max="7946" width="4.7109375" style="27" customWidth="1"/>
    <col min="7947" max="7947" width="5.140625" style="27" customWidth="1"/>
    <col min="7948" max="7948" width="8.5703125" style="27" customWidth="1"/>
    <col min="7949" max="7949" width="9.5703125" style="27" customWidth="1"/>
    <col min="7950" max="7950" width="8.7109375" style="27" customWidth="1"/>
    <col min="7951" max="7951" width="9.28515625" style="27" customWidth="1"/>
    <col min="7952" max="7952" width="8.7109375" style="27" customWidth="1"/>
    <col min="7953" max="7953" width="9.28515625" style="27" customWidth="1"/>
    <col min="7954" max="7954" width="8.7109375" style="27" customWidth="1"/>
    <col min="7955" max="7955" width="9.28515625" style="27" customWidth="1"/>
    <col min="7956" max="8192" width="9.140625" style="27"/>
    <col min="8193" max="8193" width="1.42578125" style="27" customWidth="1"/>
    <col min="8194" max="8194" width="3.42578125" style="27" customWidth="1"/>
    <col min="8195" max="8195" width="11.42578125" style="27" customWidth="1"/>
    <col min="8196" max="8196" width="7.28515625" style="27" customWidth="1"/>
    <col min="8197" max="8197" width="14" style="27" customWidth="1"/>
    <col min="8198" max="8198" width="6.42578125" style="27" customWidth="1"/>
    <col min="8199" max="8199" width="4.5703125" style="27" customWidth="1"/>
    <col min="8200" max="8200" width="6.140625" style="27" customWidth="1"/>
    <col min="8201" max="8202" width="4.7109375" style="27" customWidth="1"/>
    <col min="8203" max="8203" width="5.140625" style="27" customWidth="1"/>
    <col min="8204" max="8204" width="8.5703125" style="27" customWidth="1"/>
    <col min="8205" max="8205" width="9.5703125" style="27" customWidth="1"/>
    <col min="8206" max="8206" width="8.7109375" style="27" customWidth="1"/>
    <col min="8207" max="8207" width="9.28515625" style="27" customWidth="1"/>
    <col min="8208" max="8208" width="8.7109375" style="27" customWidth="1"/>
    <col min="8209" max="8209" width="9.28515625" style="27" customWidth="1"/>
    <col min="8210" max="8210" width="8.7109375" style="27" customWidth="1"/>
    <col min="8211" max="8211" width="9.28515625" style="27" customWidth="1"/>
    <col min="8212" max="8448" width="9.140625" style="27"/>
    <col min="8449" max="8449" width="1.42578125" style="27" customWidth="1"/>
    <col min="8450" max="8450" width="3.42578125" style="27" customWidth="1"/>
    <col min="8451" max="8451" width="11.42578125" style="27" customWidth="1"/>
    <col min="8452" max="8452" width="7.28515625" style="27" customWidth="1"/>
    <col min="8453" max="8453" width="14" style="27" customWidth="1"/>
    <col min="8454" max="8454" width="6.42578125" style="27" customWidth="1"/>
    <col min="8455" max="8455" width="4.5703125" style="27" customWidth="1"/>
    <col min="8456" max="8456" width="6.140625" style="27" customWidth="1"/>
    <col min="8457" max="8458" width="4.7109375" style="27" customWidth="1"/>
    <col min="8459" max="8459" width="5.140625" style="27" customWidth="1"/>
    <col min="8460" max="8460" width="8.5703125" style="27" customWidth="1"/>
    <col min="8461" max="8461" width="9.5703125" style="27" customWidth="1"/>
    <col min="8462" max="8462" width="8.7109375" style="27" customWidth="1"/>
    <col min="8463" max="8463" width="9.28515625" style="27" customWidth="1"/>
    <col min="8464" max="8464" width="8.7109375" style="27" customWidth="1"/>
    <col min="8465" max="8465" width="9.28515625" style="27" customWidth="1"/>
    <col min="8466" max="8466" width="8.7109375" style="27" customWidth="1"/>
    <col min="8467" max="8467" width="9.28515625" style="27" customWidth="1"/>
    <col min="8468" max="8704" width="9.140625" style="27"/>
    <col min="8705" max="8705" width="1.42578125" style="27" customWidth="1"/>
    <col min="8706" max="8706" width="3.42578125" style="27" customWidth="1"/>
    <col min="8707" max="8707" width="11.42578125" style="27" customWidth="1"/>
    <col min="8708" max="8708" width="7.28515625" style="27" customWidth="1"/>
    <col min="8709" max="8709" width="14" style="27" customWidth="1"/>
    <col min="8710" max="8710" width="6.42578125" style="27" customWidth="1"/>
    <col min="8711" max="8711" width="4.5703125" style="27" customWidth="1"/>
    <col min="8712" max="8712" width="6.140625" style="27" customWidth="1"/>
    <col min="8713" max="8714" width="4.7109375" style="27" customWidth="1"/>
    <col min="8715" max="8715" width="5.140625" style="27" customWidth="1"/>
    <col min="8716" max="8716" width="8.5703125" style="27" customWidth="1"/>
    <col min="8717" max="8717" width="9.5703125" style="27" customWidth="1"/>
    <col min="8718" max="8718" width="8.7109375" style="27" customWidth="1"/>
    <col min="8719" max="8719" width="9.28515625" style="27" customWidth="1"/>
    <col min="8720" max="8720" width="8.7109375" style="27" customWidth="1"/>
    <col min="8721" max="8721" width="9.28515625" style="27" customWidth="1"/>
    <col min="8722" max="8722" width="8.7109375" style="27" customWidth="1"/>
    <col min="8723" max="8723" width="9.28515625" style="27" customWidth="1"/>
    <col min="8724" max="8960" width="9.140625" style="27"/>
    <col min="8961" max="8961" width="1.42578125" style="27" customWidth="1"/>
    <col min="8962" max="8962" width="3.42578125" style="27" customWidth="1"/>
    <col min="8963" max="8963" width="11.42578125" style="27" customWidth="1"/>
    <col min="8964" max="8964" width="7.28515625" style="27" customWidth="1"/>
    <col min="8965" max="8965" width="14" style="27" customWidth="1"/>
    <col min="8966" max="8966" width="6.42578125" style="27" customWidth="1"/>
    <col min="8967" max="8967" width="4.5703125" style="27" customWidth="1"/>
    <col min="8968" max="8968" width="6.140625" style="27" customWidth="1"/>
    <col min="8969" max="8970" width="4.7109375" style="27" customWidth="1"/>
    <col min="8971" max="8971" width="5.140625" style="27" customWidth="1"/>
    <col min="8972" max="8972" width="8.5703125" style="27" customWidth="1"/>
    <col min="8973" max="8973" width="9.5703125" style="27" customWidth="1"/>
    <col min="8974" max="8974" width="8.7109375" style="27" customWidth="1"/>
    <col min="8975" max="8975" width="9.28515625" style="27" customWidth="1"/>
    <col min="8976" max="8976" width="8.7109375" style="27" customWidth="1"/>
    <col min="8977" max="8977" width="9.28515625" style="27" customWidth="1"/>
    <col min="8978" max="8978" width="8.7109375" style="27" customWidth="1"/>
    <col min="8979" max="8979" width="9.28515625" style="27" customWidth="1"/>
    <col min="8980" max="9216" width="9.140625" style="27"/>
    <col min="9217" max="9217" width="1.42578125" style="27" customWidth="1"/>
    <col min="9218" max="9218" width="3.42578125" style="27" customWidth="1"/>
    <col min="9219" max="9219" width="11.42578125" style="27" customWidth="1"/>
    <col min="9220" max="9220" width="7.28515625" style="27" customWidth="1"/>
    <col min="9221" max="9221" width="14" style="27" customWidth="1"/>
    <col min="9222" max="9222" width="6.42578125" style="27" customWidth="1"/>
    <col min="9223" max="9223" width="4.5703125" style="27" customWidth="1"/>
    <col min="9224" max="9224" width="6.140625" style="27" customWidth="1"/>
    <col min="9225" max="9226" width="4.7109375" style="27" customWidth="1"/>
    <col min="9227" max="9227" width="5.140625" style="27" customWidth="1"/>
    <col min="9228" max="9228" width="8.5703125" style="27" customWidth="1"/>
    <col min="9229" max="9229" width="9.5703125" style="27" customWidth="1"/>
    <col min="9230" max="9230" width="8.7109375" style="27" customWidth="1"/>
    <col min="9231" max="9231" width="9.28515625" style="27" customWidth="1"/>
    <col min="9232" max="9232" width="8.7109375" style="27" customWidth="1"/>
    <col min="9233" max="9233" width="9.28515625" style="27" customWidth="1"/>
    <col min="9234" max="9234" width="8.7109375" style="27" customWidth="1"/>
    <col min="9235" max="9235" width="9.28515625" style="27" customWidth="1"/>
    <col min="9236" max="9472" width="9.140625" style="27"/>
    <col min="9473" max="9473" width="1.42578125" style="27" customWidth="1"/>
    <col min="9474" max="9474" width="3.42578125" style="27" customWidth="1"/>
    <col min="9475" max="9475" width="11.42578125" style="27" customWidth="1"/>
    <col min="9476" max="9476" width="7.28515625" style="27" customWidth="1"/>
    <col min="9477" max="9477" width="14" style="27" customWidth="1"/>
    <col min="9478" max="9478" width="6.42578125" style="27" customWidth="1"/>
    <col min="9479" max="9479" width="4.5703125" style="27" customWidth="1"/>
    <col min="9480" max="9480" width="6.140625" style="27" customWidth="1"/>
    <col min="9481" max="9482" width="4.7109375" style="27" customWidth="1"/>
    <col min="9483" max="9483" width="5.140625" style="27" customWidth="1"/>
    <col min="9484" max="9484" width="8.5703125" style="27" customWidth="1"/>
    <col min="9485" max="9485" width="9.5703125" style="27" customWidth="1"/>
    <col min="9486" max="9486" width="8.7109375" style="27" customWidth="1"/>
    <col min="9487" max="9487" width="9.28515625" style="27" customWidth="1"/>
    <col min="9488" max="9488" width="8.7109375" style="27" customWidth="1"/>
    <col min="9489" max="9489" width="9.28515625" style="27" customWidth="1"/>
    <col min="9490" max="9490" width="8.7109375" style="27" customWidth="1"/>
    <col min="9491" max="9491" width="9.28515625" style="27" customWidth="1"/>
    <col min="9492" max="9728" width="9.140625" style="27"/>
    <col min="9729" max="9729" width="1.42578125" style="27" customWidth="1"/>
    <col min="9730" max="9730" width="3.42578125" style="27" customWidth="1"/>
    <col min="9731" max="9731" width="11.42578125" style="27" customWidth="1"/>
    <col min="9732" max="9732" width="7.28515625" style="27" customWidth="1"/>
    <col min="9733" max="9733" width="14" style="27" customWidth="1"/>
    <col min="9734" max="9734" width="6.42578125" style="27" customWidth="1"/>
    <col min="9735" max="9735" width="4.5703125" style="27" customWidth="1"/>
    <col min="9736" max="9736" width="6.140625" style="27" customWidth="1"/>
    <col min="9737" max="9738" width="4.7109375" style="27" customWidth="1"/>
    <col min="9739" max="9739" width="5.140625" style="27" customWidth="1"/>
    <col min="9740" max="9740" width="8.5703125" style="27" customWidth="1"/>
    <col min="9741" max="9741" width="9.5703125" style="27" customWidth="1"/>
    <col min="9742" max="9742" width="8.7109375" style="27" customWidth="1"/>
    <col min="9743" max="9743" width="9.28515625" style="27" customWidth="1"/>
    <col min="9744" max="9744" width="8.7109375" style="27" customWidth="1"/>
    <col min="9745" max="9745" width="9.28515625" style="27" customWidth="1"/>
    <col min="9746" max="9746" width="8.7109375" style="27" customWidth="1"/>
    <col min="9747" max="9747" width="9.28515625" style="27" customWidth="1"/>
    <col min="9748" max="9984" width="9.140625" style="27"/>
    <col min="9985" max="9985" width="1.42578125" style="27" customWidth="1"/>
    <col min="9986" max="9986" width="3.42578125" style="27" customWidth="1"/>
    <col min="9987" max="9987" width="11.42578125" style="27" customWidth="1"/>
    <col min="9988" max="9988" width="7.28515625" style="27" customWidth="1"/>
    <col min="9989" max="9989" width="14" style="27" customWidth="1"/>
    <col min="9990" max="9990" width="6.42578125" style="27" customWidth="1"/>
    <col min="9991" max="9991" width="4.5703125" style="27" customWidth="1"/>
    <col min="9992" max="9992" width="6.140625" style="27" customWidth="1"/>
    <col min="9993" max="9994" width="4.7109375" style="27" customWidth="1"/>
    <col min="9995" max="9995" width="5.140625" style="27" customWidth="1"/>
    <col min="9996" max="9996" width="8.5703125" style="27" customWidth="1"/>
    <col min="9997" max="9997" width="9.5703125" style="27" customWidth="1"/>
    <col min="9998" max="9998" width="8.7109375" style="27" customWidth="1"/>
    <col min="9999" max="9999" width="9.28515625" style="27" customWidth="1"/>
    <col min="10000" max="10000" width="8.7109375" style="27" customWidth="1"/>
    <col min="10001" max="10001" width="9.28515625" style="27" customWidth="1"/>
    <col min="10002" max="10002" width="8.7109375" style="27" customWidth="1"/>
    <col min="10003" max="10003" width="9.28515625" style="27" customWidth="1"/>
    <col min="10004" max="10240" width="9.140625" style="27"/>
    <col min="10241" max="10241" width="1.42578125" style="27" customWidth="1"/>
    <col min="10242" max="10242" width="3.42578125" style="27" customWidth="1"/>
    <col min="10243" max="10243" width="11.42578125" style="27" customWidth="1"/>
    <col min="10244" max="10244" width="7.28515625" style="27" customWidth="1"/>
    <col min="10245" max="10245" width="14" style="27" customWidth="1"/>
    <col min="10246" max="10246" width="6.42578125" style="27" customWidth="1"/>
    <col min="10247" max="10247" width="4.5703125" style="27" customWidth="1"/>
    <col min="10248" max="10248" width="6.140625" style="27" customWidth="1"/>
    <col min="10249" max="10250" width="4.7109375" style="27" customWidth="1"/>
    <col min="10251" max="10251" width="5.140625" style="27" customWidth="1"/>
    <col min="10252" max="10252" width="8.5703125" style="27" customWidth="1"/>
    <col min="10253" max="10253" width="9.5703125" style="27" customWidth="1"/>
    <col min="10254" max="10254" width="8.7109375" style="27" customWidth="1"/>
    <col min="10255" max="10255" width="9.28515625" style="27" customWidth="1"/>
    <col min="10256" max="10256" width="8.7109375" style="27" customWidth="1"/>
    <col min="10257" max="10257" width="9.28515625" style="27" customWidth="1"/>
    <col min="10258" max="10258" width="8.7109375" style="27" customWidth="1"/>
    <col min="10259" max="10259" width="9.28515625" style="27" customWidth="1"/>
    <col min="10260" max="10496" width="9.140625" style="27"/>
    <col min="10497" max="10497" width="1.42578125" style="27" customWidth="1"/>
    <col min="10498" max="10498" width="3.42578125" style="27" customWidth="1"/>
    <col min="10499" max="10499" width="11.42578125" style="27" customWidth="1"/>
    <col min="10500" max="10500" width="7.28515625" style="27" customWidth="1"/>
    <col min="10501" max="10501" width="14" style="27" customWidth="1"/>
    <col min="10502" max="10502" width="6.42578125" style="27" customWidth="1"/>
    <col min="10503" max="10503" width="4.5703125" style="27" customWidth="1"/>
    <col min="10504" max="10504" width="6.140625" style="27" customWidth="1"/>
    <col min="10505" max="10506" width="4.7109375" style="27" customWidth="1"/>
    <col min="10507" max="10507" width="5.140625" style="27" customWidth="1"/>
    <col min="10508" max="10508" width="8.5703125" style="27" customWidth="1"/>
    <col min="10509" max="10509" width="9.5703125" style="27" customWidth="1"/>
    <col min="10510" max="10510" width="8.7109375" style="27" customWidth="1"/>
    <col min="10511" max="10511" width="9.28515625" style="27" customWidth="1"/>
    <col min="10512" max="10512" width="8.7109375" style="27" customWidth="1"/>
    <col min="10513" max="10513" width="9.28515625" style="27" customWidth="1"/>
    <col min="10514" max="10514" width="8.7109375" style="27" customWidth="1"/>
    <col min="10515" max="10515" width="9.28515625" style="27" customWidth="1"/>
    <col min="10516" max="10752" width="9.140625" style="27"/>
    <col min="10753" max="10753" width="1.42578125" style="27" customWidth="1"/>
    <col min="10754" max="10754" width="3.42578125" style="27" customWidth="1"/>
    <col min="10755" max="10755" width="11.42578125" style="27" customWidth="1"/>
    <col min="10756" max="10756" width="7.28515625" style="27" customWidth="1"/>
    <col min="10757" max="10757" width="14" style="27" customWidth="1"/>
    <col min="10758" max="10758" width="6.42578125" style="27" customWidth="1"/>
    <col min="10759" max="10759" width="4.5703125" style="27" customWidth="1"/>
    <col min="10760" max="10760" width="6.140625" style="27" customWidth="1"/>
    <col min="10761" max="10762" width="4.7109375" style="27" customWidth="1"/>
    <col min="10763" max="10763" width="5.140625" style="27" customWidth="1"/>
    <col min="10764" max="10764" width="8.5703125" style="27" customWidth="1"/>
    <col min="10765" max="10765" width="9.5703125" style="27" customWidth="1"/>
    <col min="10766" max="10766" width="8.7109375" style="27" customWidth="1"/>
    <col min="10767" max="10767" width="9.28515625" style="27" customWidth="1"/>
    <col min="10768" max="10768" width="8.7109375" style="27" customWidth="1"/>
    <col min="10769" max="10769" width="9.28515625" style="27" customWidth="1"/>
    <col min="10770" max="10770" width="8.7109375" style="27" customWidth="1"/>
    <col min="10771" max="10771" width="9.28515625" style="27" customWidth="1"/>
    <col min="10772" max="11008" width="9.140625" style="27"/>
    <col min="11009" max="11009" width="1.42578125" style="27" customWidth="1"/>
    <col min="11010" max="11010" width="3.42578125" style="27" customWidth="1"/>
    <col min="11011" max="11011" width="11.42578125" style="27" customWidth="1"/>
    <col min="11012" max="11012" width="7.28515625" style="27" customWidth="1"/>
    <col min="11013" max="11013" width="14" style="27" customWidth="1"/>
    <col min="11014" max="11014" width="6.42578125" style="27" customWidth="1"/>
    <col min="11015" max="11015" width="4.5703125" style="27" customWidth="1"/>
    <col min="11016" max="11016" width="6.140625" style="27" customWidth="1"/>
    <col min="11017" max="11018" width="4.7109375" style="27" customWidth="1"/>
    <col min="11019" max="11019" width="5.140625" style="27" customWidth="1"/>
    <col min="11020" max="11020" width="8.5703125" style="27" customWidth="1"/>
    <col min="11021" max="11021" width="9.5703125" style="27" customWidth="1"/>
    <col min="11022" max="11022" width="8.7109375" style="27" customWidth="1"/>
    <col min="11023" max="11023" width="9.28515625" style="27" customWidth="1"/>
    <col min="11024" max="11024" width="8.7109375" style="27" customWidth="1"/>
    <col min="11025" max="11025" width="9.28515625" style="27" customWidth="1"/>
    <col min="11026" max="11026" width="8.7109375" style="27" customWidth="1"/>
    <col min="11027" max="11027" width="9.28515625" style="27" customWidth="1"/>
    <col min="11028" max="11264" width="9.140625" style="27"/>
    <col min="11265" max="11265" width="1.42578125" style="27" customWidth="1"/>
    <col min="11266" max="11266" width="3.42578125" style="27" customWidth="1"/>
    <col min="11267" max="11267" width="11.42578125" style="27" customWidth="1"/>
    <col min="11268" max="11268" width="7.28515625" style="27" customWidth="1"/>
    <col min="11269" max="11269" width="14" style="27" customWidth="1"/>
    <col min="11270" max="11270" width="6.42578125" style="27" customWidth="1"/>
    <col min="11271" max="11271" width="4.5703125" style="27" customWidth="1"/>
    <col min="11272" max="11272" width="6.140625" style="27" customWidth="1"/>
    <col min="11273" max="11274" width="4.7109375" style="27" customWidth="1"/>
    <col min="11275" max="11275" width="5.140625" style="27" customWidth="1"/>
    <col min="11276" max="11276" width="8.5703125" style="27" customWidth="1"/>
    <col min="11277" max="11277" width="9.5703125" style="27" customWidth="1"/>
    <col min="11278" max="11278" width="8.7109375" style="27" customWidth="1"/>
    <col min="11279" max="11279" width="9.28515625" style="27" customWidth="1"/>
    <col min="11280" max="11280" width="8.7109375" style="27" customWidth="1"/>
    <col min="11281" max="11281" width="9.28515625" style="27" customWidth="1"/>
    <col min="11282" max="11282" width="8.7109375" style="27" customWidth="1"/>
    <col min="11283" max="11283" width="9.28515625" style="27" customWidth="1"/>
    <col min="11284" max="11520" width="9.140625" style="27"/>
    <col min="11521" max="11521" width="1.42578125" style="27" customWidth="1"/>
    <col min="11522" max="11522" width="3.42578125" style="27" customWidth="1"/>
    <col min="11523" max="11523" width="11.42578125" style="27" customWidth="1"/>
    <col min="11524" max="11524" width="7.28515625" style="27" customWidth="1"/>
    <col min="11525" max="11525" width="14" style="27" customWidth="1"/>
    <col min="11526" max="11526" width="6.42578125" style="27" customWidth="1"/>
    <col min="11527" max="11527" width="4.5703125" style="27" customWidth="1"/>
    <col min="11528" max="11528" width="6.140625" style="27" customWidth="1"/>
    <col min="11529" max="11530" width="4.7109375" style="27" customWidth="1"/>
    <col min="11531" max="11531" width="5.140625" style="27" customWidth="1"/>
    <col min="11532" max="11532" width="8.5703125" style="27" customWidth="1"/>
    <col min="11533" max="11533" width="9.5703125" style="27" customWidth="1"/>
    <col min="11534" max="11534" width="8.7109375" style="27" customWidth="1"/>
    <col min="11535" max="11535" width="9.28515625" style="27" customWidth="1"/>
    <col min="11536" max="11536" width="8.7109375" style="27" customWidth="1"/>
    <col min="11537" max="11537" width="9.28515625" style="27" customWidth="1"/>
    <col min="11538" max="11538" width="8.7109375" style="27" customWidth="1"/>
    <col min="11539" max="11539" width="9.28515625" style="27" customWidth="1"/>
    <col min="11540" max="11776" width="9.140625" style="27"/>
    <col min="11777" max="11777" width="1.42578125" style="27" customWidth="1"/>
    <col min="11778" max="11778" width="3.42578125" style="27" customWidth="1"/>
    <col min="11779" max="11779" width="11.42578125" style="27" customWidth="1"/>
    <col min="11780" max="11780" width="7.28515625" style="27" customWidth="1"/>
    <col min="11781" max="11781" width="14" style="27" customWidth="1"/>
    <col min="11782" max="11782" width="6.42578125" style="27" customWidth="1"/>
    <col min="11783" max="11783" width="4.5703125" style="27" customWidth="1"/>
    <col min="11784" max="11784" width="6.140625" style="27" customWidth="1"/>
    <col min="11785" max="11786" width="4.7109375" style="27" customWidth="1"/>
    <col min="11787" max="11787" width="5.140625" style="27" customWidth="1"/>
    <col min="11788" max="11788" width="8.5703125" style="27" customWidth="1"/>
    <col min="11789" max="11789" width="9.5703125" style="27" customWidth="1"/>
    <col min="11790" max="11790" width="8.7109375" style="27" customWidth="1"/>
    <col min="11791" max="11791" width="9.28515625" style="27" customWidth="1"/>
    <col min="11792" max="11792" width="8.7109375" style="27" customWidth="1"/>
    <col min="11793" max="11793" width="9.28515625" style="27" customWidth="1"/>
    <col min="11794" max="11794" width="8.7109375" style="27" customWidth="1"/>
    <col min="11795" max="11795" width="9.28515625" style="27" customWidth="1"/>
    <col min="11796" max="12032" width="9.140625" style="27"/>
    <col min="12033" max="12033" width="1.42578125" style="27" customWidth="1"/>
    <col min="12034" max="12034" width="3.42578125" style="27" customWidth="1"/>
    <col min="12035" max="12035" width="11.42578125" style="27" customWidth="1"/>
    <col min="12036" max="12036" width="7.28515625" style="27" customWidth="1"/>
    <col min="12037" max="12037" width="14" style="27" customWidth="1"/>
    <col min="12038" max="12038" width="6.42578125" style="27" customWidth="1"/>
    <col min="12039" max="12039" width="4.5703125" style="27" customWidth="1"/>
    <col min="12040" max="12040" width="6.140625" style="27" customWidth="1"/>
    <col min="12041" max="12042" width="4.7109375" style="27" customWidth="1"/>
    <col min="12043" max="12043" width="5.140625" style="27" customWidth="1"/>
    <col min="12044" max="12044" width="8.5703125" style="27" customWidth="1"/>
    <col min="12045" max="12045" width="9.5703125" style="27" customWidth="1"/>
    <col min="12046" max="12046" width="8.7109375" style="27" customWidth="1"/>
    <col min="12047" max="12047" width="9.28515625" style="27" customWidth="1"/>
    <col min="12048" max="12048" width="8.7109375" style="27" customWidth="1"/>
    <col min="12049" max="12049" width="9.28515625" style="27" customWidth="1"/>
    <col min="12050" max="12050" width="8.7109375" style="27" customWidth="1"/>
    <col min="12051" max="12051" width="9.28515625" style="27" customWidth="1"/>
    <col min="12052" max="12288" width="9.140625" style="27"/>
    <col min="12289" max="12289" width="1.42578125" style="27" customWidth="1"/>
    <col min="12290" max="12290" width="3.42578125" style="27" customWidth="1"/>
    <col min="12291" max="12291" width="11.42578125" style="27" customWidth="1"/>
    <col min="12292" max="12292" width="7.28515625" style="27" customWidth="1"/>
    <col min="12293" max="12293" width="14" style="27" customWidth="1"/>
    <col min="12294" max="12294" width="6.42578125" style="27" customWidth="1"/>
    <col min="12295" max="12295" width="4.5703125" style="27" customWidth="1"/>
    <col min="12296" max="12296" width="6.140625" style="27" customWidth="1"/>
    <col min="12297" max="12298" width="4.7109375" style="27" customWidth="1"/>
    <col min="12299" max="12299" width="5.140625" style="27" customWidth="1"/>
    <col min="12300" max="12300" width="8.5703125" style="27" customWidth="1"/>
    <col min="12301" max="12301" width="9.5703125" style="27" customWidth="1"/>
    <col min="12302" max="12302" width="8.7109375" style="27" customWidth="1"/>
    <col min="12303" max="12303" width="9.28515625" style="27" customWidth="1"/>
    <col min="12304" max="12304" width="8.7109375" style="27" customWidth="1"/>
    <col min="12305" max="12305" width="9.28515625" style="27" customWidth="1"/>
    <col min="12306" max="12306" width="8.7109375" style="27" customWidth="1"/>
    <col min="12307" max="12307" width="9.28515625" style="27" customWidth="1"/>
    <col min="12308" max="12544" width="9.140625" style="27"/>
    <col min="12545" max="12545" width="1.42578125" style="27" customWidth="1"/>
    <col min="12546" max="12546" width="3.42578125" style="27" customWidth="1"/>
    <col min="12547" max="12547" width="11.42578125" style="27" customWidth="1"/>
    <col min="12548" max="12548" width="7.28515625" style="27" customWidth="1"/>
    <col min="12549" max="12549" width="14" style="27" customWidth="1"/>
    <col min="12550" max="12550" width="6.42578125" style="27" customWidth="1"/>
    <col min="12551" max="12551" width="4.5703125" style="27" customWidth="1"/>
    <col min="12552" max="12552" width="6.140625" style="27" customWidth="1"/>
    <col min="12553" max="12554" width="4.7109375" style="27" customWidth="1"/>
    <col min="12555" max="12555" width="5.140625" style="27" customWidth="1"/>
    <col min="12556" max="12556" width="8.5703125" style="27" customWidth="1"/>
    <col min="12557" max="12557" width="9.5703125" style="27" customWidth="1"/>
    <col min="12558" max="12558" width="8.7109375" style="27" customWidth="1"/>
    <col min="12559" max="12559" width="9.28515625" style="27" customWidth="1"/>
    <col min="12560" max="12560" width="8.7109375" style="27" customWidth="1"/>
    <col min="12561" max="12561" width="9.28515625" style="27" customWidth="1"/>
    <col min="12562" max="12562" width="8.7109375" style="27" customWidth="1"/>
    <col min="12563" max="12563" width="9.28515625" style="27" customWidth="1"/>
    <col min="12564" max="12800" width="9.140625" style="27"/>
    <col min="12801" max="12801" width="1.42578125" style="27" customWidth="1"/>
    <col min="12802" max="12802" width="3.42578125" style="27" customWidth="1"/>
    <col min="12803" max="12803" width="11.42578125" style="27" customWidth="1"/>
    <col min="12804" max="12804" width="7.28515625" style="27" customWidth="1"/>
    <col min="12805" max="12805" width="14" style="27" customWidth="1"/>
    <col min="12806" max="12806" width="6.42578125" style="27" customWidth="1"/>
    <col min="12807" max="12807" width="4.5703125" style="27" customWidth="1"/>
    <col min="12808" max="12808" width="6.140625" style="27" customWidth="1"/>
    <col min="12809" max="12810" width="4.7109375" style="27" customWidth="1"/>
    <col min="12811" max="12811" width="5.140625" style="27" customWidth="1"/>
    <col min="12812" max="12812" width="8.5703125" style="27" customWidth="1"/>
    <col min="12813" max="12813" width="9.5703125" style="27" customWidth="1"/>
    <col min="12814" max="12814" width="8.7109375" style="27" customWidth="1"/>
    <col min="12815" max="12815" width="9.28515625" style="27" customWidth="1"/>
    <col min="12816" max="12816" width="8.7109375" style="27" customWidth="1"/>
    <col min="12817" max="12817" width="9.28515625" style="27" customWidth="1"/>
    <col min="12818" max="12818" width="8.7109375" style="27" customWidth="1"/>
    <col min="12819" max="12819" width="9.28515625" style="27" customWidth="1"/>
    <col min="12820" max="13056" width="9.140625" style="27"/>
    <col min="13057" max="13057" width="1.42578125" style="27" customWidth="1"/>
    <col min="13058" max="13058" width="3.42578125" style="27" customWidth="1"/>
    <col min="13059" max="13059" width="11.42578125" style="27" customWidth="1"/>
    <col min="13060" max="13060" width="7.28515625" style="27" customWidth="1"/>
    <col min="13061" max="13061" width="14" style="27" customWidth="1"/>
    <col min="13062" max="13062" width="6.42578125" style="27" customWidth="1"/>
    <col min="13063" max="13063" width="4.5703125" style="27" customWidth="1"/>
    <col min="13064" max="13064" width="6.140625" style="27" customWidth="1"/>
    <col min="13065" max="13066" width="4.7109375" style="27" customWidth="1"/>
    <col min="13067" max="13067" width="5.140625" style="27" customWidth="1"/>
    <col min="13068" max="13068" width="8.5703125" style="27" customWidth="1"/>
    <col min="13069" max="13069" width="9.5703125" style="27" customWidth="1"/>
    <col min="13070" max="13070" width="8.7109375" style="27" customWidth="1"/>
    <col min="13071" max="13071" width="9.28515625" style="27" customWidth="1"/>
    <col min="13072" max="13072" width="8.7109375" style="27" customWidth="1"/>
    <col min="13073" max="13073" width="9.28515625" style="27" customWidth="1"/>
    <col min="13074" max="13074" width="8.7109375" style="27" customWidth="1"/>
    <col min="13075" max="13075" width="9.28515625" style="27" customWidth="1"/>
    <col min="13076" max="13312" width="9.140625" style="27"/>
    <col min="13313" max="13313" width="1.42578125" style="27" customWidth="1"/>
    <col min="13314" max="13314" width="3.42578125" style="27" customWidth="1"/>
    <col min="13315" max="13315" width="11.42578125" style="27" customWidth="1"/>
    <col min="13316" max="13316" width="7.28515625" style="27" customWidth="1"/>
    <col min="13317" max="13317" width="14" style="27" customWidth="1"/>
    <col min="13318" max="13318" width="6.42578125" style="27" customWidth="1"/>
    <col min="13319" max="13319" width="4.5703125" style="27" customWidth="1"/>
    <col min="13320" max="13320" width="6.140625" style="27" customWidth="1"/>
    <col min="13321" max="13322" width="4.7109375" style="27" customWidth="1"/>
    <col min="13323" max="13323" width="5.140625" style="27" customWidth="1"/>
    <col min="13324" max="13324" width="8.5703125" style="27" customWidth="1"/>
    <col min="13325" max="13325" width="9.5703125" style="27" customWidth="1"/>
    <col min="13326" max="13326" width="8.7109375" style="27" customWidth="1"/>
    <col min="13327" max="13327" width="9.28515625" style="27" customWidth="1"/>
    <col min="13328" max="13328" width="8.7109375" style="27" customWidth="1"/>
    <col min="13329" max="13329" width="9.28515625" style="27" customWidth="1"/>
    <col min="13330" max="13330" width="8.7109375" style="27" customWidth="1"/>
    <col min="13331" max="13331" width="9.28515625" style="27" customWidth="1"/>
    <col min="13332" max="13568" width="9.140625" style="27"/>
    <col min="13569" max="13569" width="1.42578125" style="27" customWidth="1"/>
    <col min="13570" max="13570" width="3.42578125" style="27" customWidth="1"/>
    <col min="13571" max="13571" width="11.42578125" style="27" customWidth="1"/>
    <col min="13572" max="13572" width="7.28515625" style="27" customWidth="1"/>
    <col min="13573" max="13573" width="14" style="27" customWidth="1"/>
    <col min="13574" max="13574" width="6.42578125" style="27" customWidth="1"/>
    <col min="13575" max="13575" width="4.5703125" style="27" customWidth="1"/>
    <col min="13576" max="13576" width="6.140625" style="27" customWidth="1"/>
    <col min="13577" max="13578" width="4.7109375" style="27" customWidth="1"/>
    <col min="13579" max="13579" width="5.140625" style="27" customWidth="1"/>
    <col min="13580" max="13580" width="8.5703125" style="27" customWidth="1"/>
    <col min="13581" max="13581" width="9.5703125" style="27" customWidth="1"/>
    <col min="13582" max="13582" width="8.7109375" style="27" customWidth="1"/>
    <col min="13583" max="13583" width="9.28515625" style="27" customWidth="1"/>
    <col min="13584" max="13584" width="8.7109375" style="27" customWidth="1"/>
    <col min="13585" max="13585" width="9.28515625" style="27" customWidth="1"/>
    <col min="13586" max="13586" width="8.7109375" style="27" customWidth="1"/>
    <col min="13587" max="13587" width="9.28515625" style="27" customWidth="1"/>
    <col min="13588" max="13824" width="9.140625" style="27"/>
    <col min="13825" max="13825" width="1.42578125" style="27" customWidth="1"/>
    <col min="13826" max="13826" width="3.42578125" style="27" customWidth="1"/>
    <col min="13827" max="13827" width="11.42578125" style="27" customWidth="1"/>
    <col min="13828" max="13828" width="7.28515625" style="27" customWidth="1"/>
    <col min="13829" max="13829" width="14" style="27" customWidth="1"/>
    <col min="13830" max="13830" width="6.42578125" style="27" customWidth="1"/>
    <col min="13831" max="13831" width="4.5703125" style="27" customWidth="1"/>
    <col min="13832" max="13832" width="6.140625" style="27" customWidth="1"/>
    <col min="13833" max="13834" width="4.7109375" style="27" customWidth="1"/>
    <col min="13835" max="13835" width="5.140625" style="27" customWidth="1"/>
    <col min="13836" max="13836" width="8.5703125" style="27" customWidth="1"/>
    <col min="13837" max="13837" width="9.5703125" style="27" customWidth="1"/>
    <col min="13838" max="13838" width="8.7109375" style="27" customWidth="1"/>
    <col min="13839" max="13839" width="9.28515625" style="27" customWidth="1"/>
    <col min="13840" max="13840" width="8.7109375" style="27" customWidth="1"/>
    <col min="13841" max="13841" width="9.28515625" style="27" customWidth="1"/>
    <col min="13842" max="13842" width="8.7109375" style="27" customWidth="1"/>
    <col min="13843" max="13843" width="9.28515625" style="27" customWidth="1"/>
    <col min="13844" max="14080" width="9.140625" style="27"/>
    <col min="14081" max="14081" width="1.42578125" style="27" customWidth="1"/>
    <col min="14082" max="14082" width="3.42578125" style="27" customWidth="1"/>
    <col min="14083" max="14083" width="11.42578125" style="27" customWidth="1"/>
    <col min="14084" max="14084" width="7.28515625" style="27" customWidth="1"/>
    <col min="14085" max="14085" width="14" style="27" customWidth="1"/>
    <col min="14086" max="14086" width="6.42578125" style="27" customWidth="1"/>
    <col min="14087" max="14087" width="4.5703125" style="27" customWidth="1"/>
    <col min="14088" max="14088" width="6.140625" style="27" customWidth="1"/>
    <col min="14089" max="14090" width="4.7109375" style="27" customWidth="1"/>
    <col min="14091" max="14091" width="5.140625" style="27" customWidth="1"/>
    <col min="14092" max="14092" width="8.5703125" style="27" customWidth="1"/>
    <col min="14093" max="14093" width="9.5703125" style="27" customWidth="1"/>
    <col min="14094" max="14094" width="8.7109375" style="27" customWidth="1"/>
    <col min="14095" max="14095" width="9.28515625" style="27" customWidth="1"/>
    <col min="14096" max="14096" width="8.7109375" style="27" customWidth="1"/>
    <col min="14097" max="14097" width="9.28515625" style="27" customWidth="1"/>
    <col min="14098" max="14098" width="8.7109375" style="27" customWidth="1"/>
    <col min="14099" max="14099" width="9.28515625" style="27" customWidth="1"/>
    <col min="14100" max="14336" width="9.140625" style="27"/>
    <col min="14337" max="14337" width="1.42578125" style="27" customWidth="1"/>
    <col min="14338" max="14338" width="3.42578125" style="27" customWidth="1"/>
    <col min="14339" max="14339" width="11.42578125" style="27" customWidth="1"/>
    <col min="14340" max="14340" width="7.28515625" style="27" customWidth="1"/>
    <col min="14341" max="14341" width="14" style="27" customWidth="1"/>
    <col min="14342" max="14342" width="6.42578125" style="27" customWidth="1"/>
    <col min="14343" max="14343" width="4.5703125" style="27" customWidth="1"/>
    <col min="14344" max="14344" width="6.140625" style="27" customWidth="1"/>
    <col min="14345" max="14346" width="4.7109375" style="27" customWidth="1"/>
    <col min="14347" max="14347" width="5.140625" style="27" customWidth="1"/>
    <col min="14348" max="14348" width="8.5703125" style="27" customWidth="1"/>
    <col min="14349" max="14349" width="9.5703125" style="27" customWidth="1"/>
    <col min="14350" max="14350" width="8.7109375" style="27" customWidth="1"/>
    <col min="14351" max="14351" width="9.28515625" style="27" customWidth="1"/>
    <col min="14352" max="14352" width="8.7109375" style="27" customWidth="1"/>
    <col min="14353" max="14353" width="9.28515625" style="27" customWidth="1"/>
    <col min="14354" max="14354" width="8.7109375" style="27" customWidth="1"/>
    <col min="14355" max="14355" width="9.28515625" style="27" customWidth="1"/>
    <col min="14356" max="14592" width="9.140625" style="27"/>
    <col min="14593" max="14593" width="1.42578125" style="27" customWidth="1"/>
    <col min="14594" max="14594" width="3.42578125" style="27" customWidth="1"/>
    <col min="14595" max="14595" width="11.42578125" style="27" customWidth="1"/>
    <col min="14596" max="14596" width="7.28515625" style="27" customWidth="1"/>
    <col min="14597" max="14597" width="14" style="27" customWidth="1"/>
    <col min="14598" max="14598" width="6.42578125" style="27" customWidth="1"/>
    <col min="14599" max="14599" width="4.5703125" style="27" customWidth="1"/>
    <col min="14600" max="14600" width="6.140625" style="27" customWidth="1"/>
    <col min="14601" max="14602" width="4.7109375" style="27" customWidth="1"/>
    <col min="14603" max="14603" width="5.140625" style="27" customWidth="1"/>
    <col min="14604" max="14604" width="8.5703125" style="27" customWidth="1"/>
    <col min="14605" max="14605" width="9.5703125" style="27" customWidth="1"/>
    <col min="14606" max="14606" width="8.7109375" style="27" customWidth="1"/>
    <col min="14607" max="14607" width="9.28515625" style="27" customWidth="1"/>
    <col min="14608" max="14608" width="8.7109375" style="27" customWidth="1"/>
    <col min="14609" max="14609" width="9.28515625" style="27" customWidth="1"/>
    <col min="14610" max="14610" width="8.7109375" style="27" customWidth="1"/>
    <col min="14611" max="14611" width="9.28515625" style="27" customWidth="1"/>
    <col min="14612" max="14848" width="9.140625" style="27"/>
    <col min="14849" max="14849" width="1.42578125" style="27" customWidth="1"/>
    <col min="14850" max="14850" width="3.42578125" style="27" customWidth="1"/>
    <col min="14851" max="14851" width="11.42578125" style="27" customWidth="1"/>
    <col min="14852" max="14852" width="7.28515625" style="27" customWidth="1"/>
    <col min="14853" max="14853" width="14" style="27" customWidth="1"/>
    <col min="14854" max="14854" width="6.42578125" style="27" customWidth="1"/>
    <col min="14855" max="14855" width="4.5703125" style="27" customWidth="1"/>
    <col min="14856" max="14856" width="6.140625" style="27" customWidth="1"/>
    <col min="14857" max="14858" width="4.7109375" style="27" customWidth="1"/>
    <col min="14859" max="14859" width="5.140625" style="27" customWidth="1"/>
    <col min="14860" max="14860" width="8.5703125" style="27" customWidth="1"/>
    <col min="14861" max="14861" width="9.5703125" style="27" customWidth="1"/>
    <col min="14862" max="14862" width="8.7109375" style="27" customWidth="1"/>
    <col min="14863" max="14863" width="9.28515625" style="27" customWidth="1"/>
    <col min="14864" max="14864" width="8.7109375" style="27" customWidth="1"/>
    <col min="14865" max="14865" width="9.28515625" style="27" customWidth="1"/>
    <col min="14866" max="14866" width="8.7109375" style="27" customWidth="1"/>
    <col min="14867" max="14867" width="9.28515625" style="27" customWidth="1"/>
    <col min="14868" max="15104" width="9.140625" style="27"/>
    <col min="15105" max="15105" width="1.42578125" style="27" customWidth="1"/>
    <col min="15106" max="15106" width="3.42578125" style="27" customWidth="1"/>
    <col min="15107" max="15107" width="11.42578125" style="27" customWidth="1"/>
    <col min="15108" max="15108" width="7.28515625" style="27" customWidth="1"/>
    <col min="15109" max="15109" width="14" style="27" customWidth="1"/>
    <col min="15110" max="15110" width="6.42578125" style="27" customWidth="1"/>
    <col min="15111" max="15111" width="4.5703125" style="27" customWidth="1"/>
    <col min="15112" max="15112" width="6.140625" style="27" customWidth="1"/>
    <col min="15113" max="15114" width="4.7109375" style="27" customWidth="1"/>
    <col min="15115" max="15115" width="5.140625" style="27" customWidth="1"/>
    <col min="15116" max="15116" width="8.5703125" style="27" customWidth="1"/>
    <col min="15117" max="15117" width="9.5703125" style="27" customWidth="1"/>
    <col min="15118" max="15118" width="8.7109375" style="27" customWidth="1"/>
    <col min="15119" max="15119" width="9.28515625" style="27" customWidth="1"/>
    <col min="15120" max="15120" width="8.7109375" style="27" customWidth="1"/>
    <col min="15121" max="15121" width="9.28515625" style="27" customWidth="1"/>
    <col min="15122" max="15122" width="8.7109375" style="27" customWidth="1"/>
    <col min="15123" max="15123" width="9.28515625" style="27" customWidth="1"/>
    <col min="15124" max="15360" width="9.140625" style="27"/>
    <col min="15361" max="15361" width="1.42578125" style="27" customWidth="1"/>
    <col min="15362" max="15362" width="3.42578125" style="27" customWidth="1"/>
    <col min="15363" max="15363" width="11.42578125" style="27" customWidth="1"/>
    <col min="15364" max="15364" width="7.28515625" style="27" customWidth="1"/>
    <col min="15365" max="15365" width="14" style="27" customWidth="1"/>
    <col min="15366" max="15366" width="6.42578125" style="27" customWidth="1"/>
    <col min="15367" max="15367" width="4.5703125" style="27" customWidth="1"/>
    <col min="15368" max="15368" width="6.140625" style="27" customWidth="1"/>
    <col min="15369" max="15370" width="4.7109375" style="27" customWidth="1"/>
    <col min="15371" max="15371" width="5.140625" style="27" customWidth="1"/>
    <col min="15372" max="15372" width="8.5703125" style="27" customWidth="1"/>
    <col min="15373" max="15373" width="9.5703125" style="27" customWidth="1"/>
    <col min="15374" max="15374" width="8.7109375" style="27" customWidth="1"/>
    <col min="15375" max="15375" width="9.28515625" style="27" customWidth="1"/>
    <col min="15376" max="15376" width="8.7109375" style="27" customWidth="1"/>
    <col min="15377" max="15377" width="9.28515625" style="27" customWidth="1"/>
    <col min="15378" max="15378" width="8.7109375" style="27" customWidth="1"/>
    <col min="15379" max="15379" width="9.28515625" style="27" customWidth="1"/>
    <col min="15380" max="15616" width="9.140625" style="27"/>
    <col min="15617" max="15617" width="1.42578125" style="27" customWidth="1"/>
    <col min="15618" max="15618" width="3.42578125" style="27" customWidth="1"/>
    <col min="15619" max="15619" width="11.42578125" style="27" customWidth="1"/>
    <col min="15620" max="15620" width="7.28515625" style="27" customWidth="1"/>
    <col min="15621" max="15621" width="14" style="27" customWidth="1"/>
    <col min="15622" max="15622" width="6.42578125" style="27" customWidth="1"/>
    <col min="15623" max="15623" width="4.5703125" style="27" customWidth="1"/>
    <col min="15624" max="15624" width="6.140625" style="27" customWidth="1"/>
    <col min="15625" max="15626" width="4.7109375" style="27" customWidth="1"/>
    <col min="15627" max="15627" width="5.140625" style="27" customWidth="1"/>
    <col min="15628" max="15628" width="8.5703125" style="27" customWidth="1"/>
    <col min="15629" max="15629" width="9.5703125" style="27" customWidth="1"/>
    <col min="15630" max="15630" width="8.7109375" style="27" customWidth="1"/>
    <col min="15631" max="15631" width="9.28515625" style="27" customWidth="1"/>
    <col min="15632" max="15632" width="8.7109375" style="27" customWidth="1"/>
    <col min="15633" max="15633" width="9.28515625" style="27" customWidth="1"/>
    <col min="15634" max="15634" width="8.7109375" style="27" customWidth="1"/>
    <col min="15635" max="15635" width="9.28515625" style="27" customWidth="1"/>
    <col min="15636" max="15872" width="9.140625" style="27"/>
    <col min="15873" max="15873" width="1.42578125" style="27" customWidth="1"/>
    <col min="15874" max="15874" width="3.42578125" style="27" customWidth="1"/>
    <col min="15875" max="15875" width="11.42578125" style="27" customWidth="1"/>
    <col min="15876" max="15876" width="7.28515625" style="27" customWidth="1"/>
    <col min="15877" max="15877" width="14" style="27" customWidth="1"/>
    <col min="15878" max="15878" width="6.42578125" style="27" customWidth="1"/>
    <col min="15879" max="15879" width="4.5703125" style="27" customWidth="1"/>
    <col min="15880" max="15880" width="6.140625" style="27" customWidth="1"/>
    <col min="15881" max="15882" width="4.7109375" style="27" customWidth="1"/>
    <col min="15883" max="15883" width="5.140625" style="27" customWidth="1"/>
    <col min="15884" max="15884" width="8.5703125" style="27" customWidth="1"/>
    <col min="15885" max="15885" width="9.5703125" style="27" customWidth="1"/>
    <col min="15886" max="15886" width="8.7109375" style="27" customWidth="1"/>
    <col min="15887" max="15887" width="9.28515625" style="27" customWidth="1"/>
    <col min="15888" max="15888" width="8.7109375" style="27" customWidth="1"/>
    <col min="15889" max="15889" width="9.28515625" style="27" customWidth="1"/>
    <col min="15890" max="15890" width="8.7109375" style="27" customWidth="1"/>
    <col min="15891" max="15891" width="9.28515625" style="27" customWidth="1"/>
    <col min="15892" max="16128" width="9.140625" style="27"/>
    <col min="16129" max="16129" width="1.42578125" style="27" customWidth="1"/>
    <col min="16130" max="16130" width="3.42578125" style="27" customWidth="1"/>
    <col min="16131" max="16131" width="11.42578125" style="27" customWidth="1"/>
    <col min="16132" max="16132" width="7.28515625" style="27" customWidth="1"/>
    <col min="16133" max="16133" width="14" style="27" customWidth="1"/>
    <col min="16134" max="16134" width="6.42578125" style="27" customWidth="1"/>
    <col min="16135" max="16135" width="4.5703125" style="27" customWidth="1"/>
    <col min="16136" max="16136" width="6.140625" style="27" customWidth="1"/>
    <col min="16137" max="16138" width="4.7109375" style="27" customWidth="1"/>
    <col min="16139" max="16139" width="5.140625" style="27" customWidth="1"/>
    <col min="16140" max="16140" width="8.5703125" style="27" customWidth="1"/>
    <col min="16141" max="16141" width="9.5703125" style="27" customWidth="1"/>
    <col min="16142" max="16142" width="8.7109375" style="27" customWidth="1"/>
    <col min="16143" max="16143" width="9.28515625" style="27" customWidth="1"/>
    <col min="16144" max="16144" width="8.7109375" style="27" customWidth="1"/>
    <col min="16145" max="16145" width="9.28515625" style="27" customWidth="1"/>
    <col min="16146" max="16146" width="8.7109375" style="27" customWidth="1"/>
    <col min="16147" max="16147" width="9.28515625" style="27" customWidth="1"/>
    <col min="16148" max="16384" width="9.140625" style="27"/>
  </cols>
  <sheetData>
    <row r="1" spans="1:19" s="25" customFormat="1" ht="11.25" customHeight="1"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6" t="s">
        <v>0</v>
      </c>
    </row>
    <row r="2" spans="1:19" s="25" customFormat="1" ht="9.75" customHeight="1">
      <c r="H2" s="1"/>
      <c r="I2" s="1"/>
      <c r="J2" s="1"/>
      <c r="K2" s="1"/>
      <c r="L2" s="1"/>
      <c r="M2" s="1"/>
      <c r="N2" s="1"/>
      <c r="O2" s="1"/>
      <c r="P2" s="1"/>
      <c r="Q2" s="1"/>
      <c r="R2" s="26"/>
      <c r="S2" s="26" t="s">
        <v>1</v>
      </c>
    </row>
    <row r="3" spans="1:19" s="25" customFormat="1" ht="9.75" customHeight="1">
      <c r="H3" s="1"/>
      <c r="I3" s="1"/>
      <c r="J3" s="1"/>
      <c r="K3" s="1"/>
      <c r="L3" s="1"/>
      <c r="M3" s="1"/>
      <c r="N3" s="1"/>
      <c r="O3" s="1"/>
      <c r="P3" s="1"/>
      <c r="Q3" s="1"/>
      <c r="R3" s="26"/>
      <c r="S3" s="26" t="s">
        <v>2</v>
      </c>
    </row>
    <row r="4" spans="1:19" ht="6.75" customHeight="1"/>
    <row r="5" spans="1:19" s="28" customFormat="1" ht="12">
      <c r="H5" s="29" t="s">
        <v>3</v>
      </c>
      <c r="I5" s="30"/>
      <c r="J5" s="3" t="s">
        <v>4</v>
      </c>
      <c r="K5" s="3"/>
      <c r="L5" s="3"/>
      <c r="M5" s="3"/>
      <c r="N5" s="3"/>
      <c r="O5" s="3"/>
      <c r="P5" s="3"/>
      <c r="Q5" s="3"/>
      <c r="R5" s="3"/>
      <c r="S5" s="31"/>
    </row>
    <row r="6" spans="1:19" s="25" customFormat="1" ht="6" customHeight="1"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s="25" customFormat="1" ht="10.5">
      <c r="A7" s="4" t="s">
        <v>5</v>
      </c>
      <c r="B7" s="4"/>
      <c r="C7" s="4"/>
      <c r="D7" s="128" t="s">
        <v>694</v>
      </c>
      <c r="E7" s="128"/>
      <c r="F7" s="128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25" customFormat="1" ht="9" customHeight="1">
      <c r="A8" s="4"/>
      <c r="B8" s="4"/>
      <c r="C8" s="4"/>
      <c r="D8" s="159" t="s">
        <v>6</v>
      </c>
      <c r="E8" s="159"/>
      <c r="F8" s="159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s="25" customFormat="1" ht="10.5">
      <c r="A9" s="4"/>
      <c r="B9" s="4"/>
      <c r="D9" s="26" t="s">
        <v>7</v>
      </c>
      <c r="E9" s="128" t="s">
        <v>702</v>
      </c>
      <c r="F9" s="128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s="25" customFormat="1" ht="10.5">
      <c r="A10" s="4"/>
      <c r="B10" s="4"/>
      <c r="D10" s="4"/>
      <c r="E10" s="26" t="s">
        <v>8</v>
      </c>
      <c r="F10" s="32" t="s">
        <v>707</v>
      </c>
      <c r="G10" s="4" t="s">
        <v>9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s="25" customFormat="1" ht="10.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s="25" customFormat="1" ht="10.5">
      <c r="A12" s="4" t="s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s="25" customFormat="1" ht="10.5">
      <c r="A13" s="4" t="s">
        <v>11</v>
      </c>
      <c r="B13" s="128" t="s">
        <v>704</v>
      </c>
      <c r="C13" s="128"/>
      <c r="D13" s="128"/>
      <c r="E13" s="128"/>
      <c r="F13" s="128"/>
      <c r="G13" s="3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s="25" customFormat="1" ht="12.75" customHeight="1">
      <c r="B14" s="130" t="s">
        <v>12</v>
      </c>
      <c r="C14" s="130"/>
      <c r="D14" s="130"/>
      <c r="E14" s="130"/>
      <c r="F14" s="130"/>
      <c r="G14" s="3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s="35" customFormat="1" ht="14.25" customHeight="1" thickBot="1">
      <c r="A15" s="129" t="s">
        <v>13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</row>
    <row r="16" spans="1:19" s="38" customFormat="1" ht="29.45" customHeight="1">
      <c r="A16" s="150" t="s">
        <v>14</v>
      </c>
      <c r="B16" s="151"/>
      <c r="C16" s="160" t="s">
        <v>15</v>
      </c>
      <c r="D16" s="161"/>
      <c r="E16" s="161"/>
      <c r="F16" s="161"/>
      <c r="G16" s="151"/>
      <c r="H16" s="164" t="s">
        <v>16</v>
      </c>
      <c r="I16" s="36" t="s">
        <v>701</v>
      </c>
      <c r="J16" s="37" t="s">
        <v>700</v>
      </c>
      <c r="K16" s="37" t="s">
        <v>696</v>
      </c>
      <c r="L16" s="131" t="s">
        <v>697</v>
      </c>
      <c r="M16" s="132"/>
      <c r="N16" s="131" t="s">
        <v>698</v>
      </c>
      <c r="O16" s="132"/>
      <c r="P16" s="131" t="s">
        <v>699</v>
      </c>
      <c r="Q16" s="132"/>
      <c r="R16" s="131" t="s">
        <v>17</v>
      </c>
      <c r="S16" s="158"/>
    </row>
    <row r="17" spans="1:19" s="38" customFormat="1" ht="42" customHeight="1">
      <c r="A17" s="152"/>
      <c r="B17" s="153"/>
      <c r="C17" s="162"/>
      <c r="D17" s="163"/>
      <c r="E17" s="163"/>
      <c r="F17" s="163"/>
      <c r="G17" s="153"/>
      <c r="H17" s="165"/>
      <c r="I17" s="39" t="s">
        <v>18</v>
      </c>
      <c r="J17" s="5" t="s">
        <v>18</v>
      </c>
      <c r="K17" s="5" t="s">
        <v>18</v>
      </c>
      <c r="L17" s="5" t="s">
        <v>705</v>
      </c>
      <c r="M17" s="5" t="s">
        <v>18</v>
      </c>
      <c r="N17" s="5" t="s">
        <v>705</v>
      </c>
      <c r="O17" s="5" t="s">
        <v>19</v>
      </c>
      <c r="P17" s="5" t="s">
        <v>706</v>
      </c>
      <c r="Q17" s="5" t="s">
        <v>19</v>
      </c>
      <c r="R17" s="5" t="s">
        <v>706</v>
      </c>
      <c r="S17" s="40" t="s">
        <v>19</v>
      </c>
    </row>
    <row r="18" spans="1:19" s="43" customFormat="1" ht="9" thickBot="1">
      <c r="A18" s="157">
        <v>1</v>
      </c>
      <c r="B18" s="156"/>
      <c r="C18" s="154">
        <v>2</v>
      </c>
      <c r="D18" s="155"/>
      <c r="E18" s="155"/>
      <c r="F18" s="155"/>
      <c r="G18" s="156"/>
      <c r="H18" s="41">
        <v>3</v>
      </c>
      <c r="I18" s="42">
        <v>4</v>
      </c>
      <c r="J18" s="6">
        <v>5</v>
      </c>
      <c r="K18" s="6">
        <v>6</v>
      </c>
      <c r="L18" s="6">
        <v>7</v>
      </c>
      <c r="M18" s="6">
        <v>8</v>
      </c>
      <c r="N18" s="6">
        <v>9</v>
      </c>
      <c r="O18" s="6">
        <v>10</v>
      </c>
      <c r="P18" s="6">
        <v>11</v>
      </c>
      <c r="Q18" s="6">
        <v>12</v>
      </c>
      <c r="R18" s="6">
        <v>13</v>
      </c>
      <c r="S18" s="41">
        <v>14</v>
      </c>
    </row>
    <row r="19" spans="1:19" s="44" customFormat="1" ht="10.5" customHeight="1" thickBot="1">
      <c r="A19" s="112" t="s">
        <v>20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4"/>
    </row>
    <row r="20" spans="1:19" s="24" customFormat="1" ht="9.75" customHeight="1">
      <c r="A20" s="76" t="s">
        <v>21</v>
      </c>
      <c r="B20" s="77"/>
      <c r="C20" s="125" t="s">
        <v>22</v>
      </c>
      <c r="D20" s="126"/>
      <c r="E20" s="126"/>
      <c r="F20" s="126"/>
      <c r="G20" s="127"/>
      <c r="H20" s="45" t="s">
        <v>23</v>
      </c>
      <c r="I20" s="46">
        <f>I21+I25+I26+I27+I28+I29+I30+I34</f>
        <v>9819.4</v>
      </c>
      <c r="J20" s="7">
        <f t="shared" ref="J20:Q20" si="0">J21+J25+J26+J27+J28+J29+J30+J34</f>
        <v>7620.7540000000008</v>
      </c>
      <c r="K20" s="7">
        <f t="shared" si="0"/>
        <v>7078.8239999999996</v>
      </c>
      <c r="L20" s="7">
        <f t="shared" si="0"/>
        <v>7384.8008950000003</v>
      </c>
      <c r="M20" s="7">
        <f t="shared" si="0"/>
        <v>2215.192</v>
      </c>
      <c r="N20" s="7">
        <f t="shared" si="0"/>
        <v>7716.321885675</v>
      </c>
      <c r="O20" s="7">
        <f t="shared" si="0"/>
        <v>0</v>
      </c>
      <c r="P20" s="7">
        <f t="shared" si="0"/>
        <v>8031.2965189463694</v>
      </c>
      <c r="Q20" s="7">
        <f t="shared" si="0"/>
        <v>0</v>
      </c>
      <c r="R20" s="7">
        <f>I20+J20+K20+L20+N20+P20</f>
        <v>47651.397299621378</v>
      </c>
      <c r="S20" s="47">
        <f>M20+O20+Q20</f>
        <v>2215.192</v>
      </c>
    </row>
    <row r="21" spans="1:19" s="24" customFormat="1" ht="8.25" customHeight="1">
      <c r="A21" s="74" t="s">
        <v>24</v>
      </c>
      <c r="B21" s="75"/>
      <c r="C21" s="90" t="s">
        <v>25</v>
      </c>
      <c r="D21" s="91"/>
      <c r="E21" s="91"/>
      <c r="F21" s="91"/>
      <c r="G21" s="92"/>
      <c r="H21" s="21" t="s">
        <v>23</v>
      </c>
      <c r="I21" s="22">
        <f t="shared" ref="I21:R21" si="1">I22+I23+I24</f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>
        <f t="shared" si="1"/>
        <v>0</v>
      </c>
      <c r="R21" s="8">
        <f t="shared" si="1"/>
        <v>0</v>
      </c>
      <c r="S21" s="23">
        <f t="shared" ref="S21:S84" si="2">M21+O21+Q21</f>
        <v>0</v>
      </c>
    </row>
    <row r="22" spans="1:19" s="24" customFormat="1" ht="16.5" customHeight="1">
      <c r="A22" s="74" t="s">
        <v>26</v>
      </c>
      <c r="B22" s="75"/>
      <c r="C22" s="90" t="s">
        <v>27</v>
      </c>
      <c r="D22" s="91"/>
      <c r="E22" s="91"/>
      <c r="F22" s="91"/>
      <c r="G22" s="92"/>
      <c r="H22" s="21" t="s">
        <v>23</v>
      </c>
      <c r="I22" s="22"/>
      <c r="J22" s="8"/>
      <c r="K22" s="8"/>
      <c r="L22" s="8"/>
      <c r="M22" s="8"/>
      <c r="N22" s="8"/>
      <c r="O22" s="8"/>
      <c r="P22" s="8"/>
      <c r="Q22" s="8"/>
      <c r="R22" s="8">
        <f t="shared" ref="R22:R161" si="3">I22+J22+K22+L22+N22+P22</f>
        <v>0</v>
      </c>
      <c r="S22" s="23">
        <f t="shared" si="2"/>
        <v>0</v>
      </c>
    </row>
    <row r="23" spans="1:19" s="24" customFormat="1" ht="16.5" customHeight="1">
      <c r="A23" s="74" t="s">
        <v>28</v>
      </c>
      <c r="B23" s="75"/>
      <c r="C23" s="90" t="s">
        <v>29</v>
      </c>
      <c r="D23" s="91"/>
      <c r="E23" s="91"/>
      <c r="F23" s="91"/>
      <c r="G23" s="92"/>
      <c r="H23" s="21" t="s">
        <v>23</v>
      </c>
      <c r="I23" s="22"/>
      <c r="J23" s="8"/>
      <c r="K23" s="8"/>
      <c r="L23" s="8"/>
      <c r="M23" s="8"/>
      <c r="N23" s="8"/>
      <c r="O23" s="8"/>
      <c r="P23" s="8"/>
      <c r="Q23" s="8"/>
      <c r="R23" s="8">
        <f t="shared" si="3"/>
        <v>0</v>
      </c>
      <c r="S23" s="23">
        <f t="shared" si="2"/>
        <v>0</v>
      </c>
    </row>
    <row r="24" spans="1:19" s="24" customFormat="1" ht="16.5" customHeight="1">
      <c r="A24" s="74" t="s">
        <v>30</v>
      </c>
      <c r="B24" s="75"/>
      <c r="C24" s="90" t="s">
        <v>31</v>
      </c>
      <c r="D24" s="91"/>
      <c r="E24" s="91"/>
      <c r="F24" s="91"/>
      <c r="G24" s="92"/>
      <c r="H24" s="21" t="s">
        <v>23</v>
      </c>
      <c r="I24" s="22"/>
      <c r="J24" s="8"/>
      <c r="K24" s="8"/>
      <c r="L24" s="8"/>
      <c r="M24" s="8"/>
      <c r="N24" s="8"/>
      <c r="O24" s="8"/>
      <c r="P24" s="8"/>
      <c r="Q24" s="8"/>
      <c r="R24" s="8">
        <f t="shared" si="3"/>
        <v>0</v>
      </c>
      <c r="S24" s="23">
        <f t="shared" si="2"/>
        <v>0</v>
      </c>
    </row>
    <row r="25" spans="1:19" s="24" customFormat="1" ht="8.1" customHeight="1">
      <c r="A25" s="74" t="s">
        <v>32</v>
      </c>
      <c r="B25" s="75"/>
      <c r="C25" s="90" t="s">
        <v>33</v>
      </c>
      <c r="D25" s="91"/>
      <c r="E25" s="91"/>
      <c r="F25" s="91"/>
      <c r="G25" s="92"/>
      <c r="H25" s="21" t="s">
        <v>23</v>
      </c>
      <c r="I25" s="22"/>
      <c r="J25" s="8"/>
      <c r="K25" s="8"/>
      <c r="L25" s="8"/>
      <c r="M25" s="8"/>
      <c r="N25" s="8"/>
      <c r="O25" s="8"/>
      <c r="P25" s="8"/>
      <c r="Q25" s="8"/>
      <c r="R25" s="8">
        <f t="shared" si="3"/>
        <v>0</v>
      </c>
      <c r="S25" s="23">
        <f t="shared" si="2"/>
        <v>0</v>
      </c>
    </row>
    <row r="26" spans="1:19" s="24" customFormat="1" ht="8.1" customHeight="1">
      <c r="A26" s="74" t="s">
        <v>34</v>
      </c>
      <c r="B26" s="75"/>
      <c r="C26" s="90" t="s">
        <v>35</v>
      </c>
      <c r="D26" s="91"/>
      <c r="E26" s="91"/>
      <c r="F26" s="91"/>
      <c r="G26" s="92"/>
      <c r="H26" s="21" t="s">
        <v>23</v>
      </c>
      <c r="I26" s="22"/>
      <c r="J26" s="8"/>
      <c r="K26" s="8"/>
      <c r="L26" s="8"/>
      <c r="M26" s="8"/>
      <c r="N26" s="8"/>
      <c r="O26" s="8"/>
      <c r="P26" s="8"/>
      <c r="Q26" s="8"/>
      <c r="R26" s="8">
        <f t="shared" si="3"/>
        <v>0</v>
      </c>
      <c r="S26" s="23">
        <f t="shared" si="2"/>
        <v>0</v>
      </c>
    </row>
    <row r="27" spans="1:19" s="24" customFormat="1" ht="8.1" customHeight="1">
      <c r="A27" s="74" t="s">
        <v>36</v>
      </c>
      <c r="B27" s="75"/>
      <c r="C27" s="90" t="s">
        <v>37</v>
      </c>
      <c r="D27" s="91"/>
      <c r="E27" s="91"/>
      <c r="F27" s="91"/>
      <c r="G27" s="92"/>
      <c r="H27" s="21" t="s">
        <v>23</v>
      </c>
      <c r="I27" s="22"/>
      <c r="J27" s="8"/>
      <c r="K27" s="8"/>
      <c r="L27" s="8"/>
      <c r="M27" s="8"/>
      <c r="N27" s="8"/>
      <c r="O27" s="8"/>
      <c r="P27" s="8"/>
      <c r="Q27" s="8"/>
      <c r="R27" s="8">
        <f t="shared" si="3"/>
        <v>0</v>
      </c>
      <c r="S27" s="23">
        <f t="shared" si="2"/>
        <v>0</v>
      </c>
    </row>
    <row r="28" spans="1:19" s="24" customFormat="1" ht="8.1" customHeight="1">
      <c r="A28" s="74" t="s">
        <v>38</v>
      </c>
      <c r="B28" s="75"/>
      <c r="C28" s="90" t="s">
        <v>39</v>
      </c>
      <c r="D28" s="91"/>
      <c r="E28" s="91"/>
      <c r="F28" s="91"/>
      <c r="G28" s="92"/>
      <c r="H28" s="21" t="s">
        <v>23</v>
      </c>
      <c r="I28" s="22"/>
      <c r="J28" s="8"/>
      <c r="K28" s="8"/>
      <c r="L28" s="8"/>
      <c r="M28" s="8"/>
      <c r="N28" s="8"/>
      <c r="O28" s="8"/>
      <c r="P28" s="8"/>
      <c r="Q28" s="8"/>
      <c r="R28" s="8">
        <f t="shared" si="3"/>
        <v>0</v>
      </c>
      <c r="S28" s="23">
        <f t="shared" si="2"/>
        <v>0</v>
      </c>
    </row>
    <row r="29" spans="1:19" s="24" customFormat="1" ht="8.1" customHeight="1">
      <c r="A29" s="74" t="s">
        <v>40</v>
      </c>
      <c r="B29" s="75"/>
      <c r="C29" s="90" t="s">
        <v>41</v>
      </c>
      <c r="D29" s="91"/>
      <c r="E29" s="91"/>
      <c r="F29" s="91"/>
      <c r="G29" s="92"/>
      <c r="H29" s="21" t="s">
        <v>23</v>
      </c>
      <c r="I29" s="22">
        <v>9796.1</v>
      </c>
      <c r="J29" s="8">
        <f>7601.225</f>
        <v>7601.2250000000004</v>
      </c>
      <c r="K29" s="8">
        <v>7061.7759999999998</v>
      </c>
      <c r="L29" s="8">
        <v>7320.7909749999999</v>
      </c>
      <c r="M29" s="8">
        <v>2209.5100000000002</v>
      </c>
      <c r="N29" s="8">
        <v>7649.751568875</v>
      </c>
      <c r="O29" s="8"/>
      <c r="P29" s="8">
        <v>7962.0633894743696</v>
      </c>
      <c r="Q29" s="8"/>
      <c r="R29" s="8">
        <f t="shared" si="3"/>
        <v>47391.706933349371</v>
      </c>
      <c r="S29" s="23">
        <f t="shared" si="2"/>
        <v>2209.5100000000002</v>
      </c>
    </row>
    <row r="30" spans="1:19" s="24" customFormat="1" ht="8.1" customHeight="1">
      <c r="A30" s="74" t="s">
        <v>42</v>
      </c>
      <c r="B30" s="75"/>
      <c r="C30" s="90" t="s">
        <v>43</v>
      </c>
      <c r="D30" s="91"/>
      <c r="E30" s="91"/>
      <c r="F30" s="91"/>
      <c r="G30" s="92"/>
      <c r="H30" s="21" t="s">
        <v>23</v>
      </c>
      <c r="I30" s="22"/>
      <c r="J30" s="8"/>
      <c r="K30" s="8"/>
      <c r="L30" s="8"/>
      <c r="M30" s="8"/>
      <c r="N30" s="8"/>
      <c r="O30" s="8"/>
      <c r="P30" s="8"/>
      <c r="Q30" s="8"/>
      <c r="R30" s="8">
        <f t="shared" si="3"/>
        <v>0</v>
      </c>
      <c r="S30" s="23">
        <f t="shared" si="2"/>
        <v>0</v>
      </c>
    </row>
    <row r="31" spans="1:19" s="24" customFormat="1" ht="16.5" customHeight="1">
      <c r="A31" s="74" t="s">
        <v>44</v>
      </c>
      <c r="B31" s="75"/>
      <c r="C31" s="90" t="s">
        <v>45</v>
      </c>
      <c r="D31" s="91"/>
      <c r="E31" s="91"/>
      <c r="F31" s="91"/>
      <c r="G31" s="92"/>
      <c r="H31" s="21" t="s">
        <v>23</v>
      </c>
      <c r="I31" s="22">
        <f t="shared" ref="I31:Q31" si="4">I32+I33</f>
        <v>0</v>
      </c>
      <c r="J31" s="8">
        <f t="shared" si="4"/>
        <v>0</v>
      </c>
      <c r="K31" s="8">
        <f t="shared" si="4"/>
        <v>0</v>
      </c>
      <c r="L31" s="8">
        <f t="shared" si="4"/>
        <v>0</v>
      </c>
      <c r="M31" s="8">
        <f t="shared" si="4"/>
        <v>0</v>
      </c>
      <c r="N31" s="8">
        <f t="shared" si="4"/>
        <v>0</v>
      </c>
      <c r="O31" s="8">
        <f t="shared" si="4"/>
        <v>0</v>
      </c>
      <c r="P31" s="8">
        <f t="shared" si="4"/>
        <v>0</v>
      </c>
      <c r="Q31" s="8">
        <f t="shared" si="4"/>
        <v>0</v>
      </c>
      <c r="R31" s="8">
        <f t="shared" si="3"/>
        <v>0</v>
      </c>
      <c r="S31" s="23">
        <f t="shared" si="2"/>
        <v>0</v>
      </c>
    </row>
    <row r="32" spans="1:19" s="24" customFormat="1" ht="8.1" customHeight="1">
      <c r="A32" s="74" t="s">
        <v>46</v>
      </c>
      <c r="B32" s="75"/>
      <c r="C32" s="87" t="s">
        <v>47</v>
      </c>
      <c r="D32" s="88"/>
      <c r="E32" s="88"/>
      <c r="F32" s="88"/>
      <c r="G32" s="89"/>
      <c r="H32" s="21" t="s">
        <v>23</v>
      </c>
      <c r="I32" s="22"/>
      <c r="J32" s="8"/>
      <c r="K32" s="8"/>
      <c r="L32" s="8"/>
      <c r="M32" s="8"/>
      <c r="N32" s="8"/>
      <c r="O32" s="8"/>
      <c r="P32" s="8"/>
      <c r="Q32" s="8"/>
      <c r="R32" s="8">
        <f t="shared" si="3"/>
        <v>0</v>
      </c>
      <c r="S32" s="23">
        <f t="shared" si="2"/>
        <v>0</v>
      </c>
    </row>
    <row r="33" spans="1:20" s="24" customFormat="1" ht="8.1" customHeight="1">
      <c r="A33" s="74" t="s">
        <v>48</v>
      </c>
      <c r="B33" s="75"/>
      <c r="C33" s="87" t="s">
        <v>49</v>
      </c>
      <c r="D33" s="88"/>
      <c r="E33" s="88"/>
      <c r="F33" s="88"/>
      <c r="G33" s="89"/>
      <c r="H33" s="21" t="s">
        <v>23</v>
      </c>
      <c r="I33" s="22"/>
      <c r="J33" s="8"/>
      <c r="K33" s="8"/>
      <c r="L33" s="8"/>
      <c r="M33" s="8"/>
      <c r="N33" s="8"/>
      <c r="O33" s="8"/>
      <c r="P33" s="8"/>
      <c r="Q33" s="8"/>
      <c r="R33" s="8">
        <f t="shared" si="3"/>
        <v>0</v>
      </c>
      <c r="S33" s="23">
        <f t="shared" si="2"/>
        <v>0</v>
      </c>
    </row>
    <row r="34" spans="1:20" s="24" customFormat="1" ht="8.1" customHeight="1">
      <c r="A34" s="74" t="s">
        <v>50</v>
      </c>
      <c r="B34" s="75"/>
      <c r="C34" s="90" t="s">
        <v>51</v>
      </c>
      <c r="D34" s="91"/>
      <c r="E34" s="91"/>
      <c r="F34" s="91"/>
      <c r="G34" s="92"/>
      <c r="H34" s="21" t="s">
        <v>23</v>
      </c>
      <c r="I34" s="22">
        <v>23.3</v>
      </c>
      <c r="J34" s="8">
        <v>19.529</v>
      </c>
      <c r="K34" s="8">
        <v>17.047999999999998</v>
      </c>
      <c r="L34" s="8">
        <v>64.009920000000008</v>
      </c>
      <c r="M34" s="8">
        <v>5.6820000000000004</v>
      </c>
      <c r="N34" s="8">
        <v>66.570316800000015</v>
      </c>
      <c r="O34" s="8"/>
      <c r="P34" s="8">
        <v>69.233129472000016</v>
      </c>
      <c r="Q34" s="8"/>
      <c r="R34" s="8">
        <f t="shared" si="3"/>
        <v>259.69036627200006</v>
      </c>
      <c r="S34" s="23">
        <f t="shared" si="2"/>
        <v>5.6820000000000004</v>
      </c>
    </row>
    <row r="35" spans="1:20" s="24" customFormat="1" ht="16.5" customHeight="1">
      <c r="A35" s="74" t="s">
        <v>52</v>
      </c>
      <c r="B35" s="75"/>
      <c r="C35" s="93" t="s">
        <v>53</v>
      </c>
      <c r="D35" s="94"/>
      <c r="E35" s="94"/>
      <c r="F35" s="94"/>
      <c r="G35" s="95"/>
      <c r="H35" s="21" t="s">
        <v>23</v>
      </c>
      <c r="I35" s="22">
        <f t="shared" ref="I35:Q35" si="5">I50+I59+I65+I66+I67+I70</f>
        <v>9678.0866467180786</v>
      </c>
      <c r="J35" s="8">
        <f>J50+J59+J65+J66+J67+J70</f>
        <v>7365.8232247205287</v>
      </c>
      <c r="K35" s="8">
        <f>K50+K59+K65+K66+K67+K70</f>
        <v>6708.5589999999993</v>
      </c>
      <c r="L35" s="8">
        <f t="shared" si="5"/>
        <v>7170.9312763235957</v>
      </c>
      <c r="M35" s="8">
        <f t="shared" si="5"/>
        <v>2057.3739999999998</v>
      </c>
      <c r="N35" s="8">
        <f t="shared" si="5"/>
        <v>7457.0046923606506</v>
      </c>
      <c r="O35" s="8">
        <f t="shared" si="5"/>
        <v>0</v>
      </c>
      <c r="P35" s="8">
        <f t="shared" si="5"/>
        <v>7755.2848800550755</v>
      </c>
      <c r="Q35" s="8">
        <f t="shared" si="5"/>
        <v>0</v>
      </c>
      <c r="R35" s="8">
        <f t="shared" si="3"/>
        <v>46135.689720177928</v>
      </c>
      <c r="S35" s="23">
        <f t="shared" si="2"/>
        <v>2057.3739999999998</v>
      </c>
      <c r="T35" s="172"/>
    </row>
    <row r="36" spans="1:20" s="24" customFormat="1" ht="8.1" customHeight="1">
      <c r="A36" s="74" t="s">
        <v>54</v>
      </c>
      <c r="B36" s="75"/>
      <c r="C36" s="90" t="s">
        <v>25</v>
      </c>
      <c r="D36" s="91"/>
      <c r="E36" s="91"/>
      <c r="F36" s="91"/>
      <c r="G36" s="92"/>
      <c r="H36" s="21" t="s">
        <v>23</v>
      </c>
      <c r="I36" s="22">
        <f t="shared" ref="I36:Q36" si="6">I37+I38+I39</f>
        <v>0</v>
      </c>
      <c r="J36" s="8">
        <f t="shared" si="6"/>
        <v>0</v>
      </c>
      <c r="K36" s="8">
        <f t="shared" si="6"/>
        <v>0</v>
      </c>
      <c r="L36" s="8">
        <f t="shared" si="6"/>
        <v>0</v>
      </c>
      <c r="M36" s="8">
        <f t="shared" si="6"/>
        <v>0</v>
      </c>
      <c r="N36" s="8">
        <f t="shared" si="6"/>
        <v>0</v>
      </c>
      <c r="O36" s="8">
        <f t="shared" si="6"/>
        <v>0</v>
      </c>
      <c r="P36" s="8">
        <f t="shared" si="6"/>
        <v>0</v>
      </c>
      <c r="Q36" s="8">
        <f t="shared" si="6"/>
        <v>0</v>
      </c>
      <c r="R36" s="8">
        <f t="shared" si="3"/>
        <v>0</v>
      </c>
      <c r="S36" s="23">
        <f t="shared" si="2"/>
        <v>0</v>
      </c>
    </row>
    <row r="37" spans="1:20" s="24" customFormat="1" ht="16.5" customHeight="1">
      <c r="A37" s="74" t="s">
        <v>55</v>
      </c>
      <c r="B37" s="75"/>
      <c r="C37" s="87" t="s">
        <v>27</v>
      </c>
      <c r="D37" s="88"/>
      <c r="E37" s="88"/>
      <c r="F37" s="88"/>
      <c r="G37" s="89"/>
      <c r="H37" s="21" t="s">
        <v>23</v>
      </c>
      <c r="I37" s="22"/>
      <c r="J37" s="8"/>
      <c r="K37" s="8"/>
      <c r="L37" s="8"/>
      <c r="M37" s="8"/>
      <c r="N37" s="8"/>
      <c r="O37" s="8"/>
      <c r="P37" s="8"/>
      <c r="Q37" s="8"/>
      <c r="R37" s="8">
        <f t="shared" si="3"/>
        <v>0</v>
      </c>
      <c r="S37" s="23">
        <f t="shared" si="2"/>
        <v>0</v>
      </c>
    </row>
    <row r="38" spans="1:20" s="24" customFormat="1" ht="16.5" customHeight="1">
      <c r="A38" s="74" t="s">
        <v>56</v>
      </c>
      <c r="B38" s="75"/>
      <c r="C38" s="87" t="s">
        <v>29</v>
      </c>
      <c r="D38" s="88"/>
      <c r="E38" s="88"/>
      <c r="F38" s="88"/>
      <c r="G38" s="89"/>
      <c r="H38" s="21" t="s">
        <v>23</v>
      </c>
      <c r="I38" s="22"/>
      <c r="J38" s="8"/>
      <c r="K38" s="8"/>
      <c r="L38" s="8"/>
      <c r="M38" s="8"/>
      <c r="N38" s="8"/>
      <c r="O38" s="8"/>
      <c r="P38" s="8"/>
      <c r="Q38" s="8"/>
      <c r="R38" s="8">
        <f t="shared" si="3"/>
        <v>0</v>
      </c>
      <c r="S38" s="23">
        <f t="shared" si="2"/>
        <v>0</v>
      </c>
    </row>
    <row r="39" spans="1:20" s="24" customFormat="1" ht="16.5" customHeight="1">
      <c r="A39" s="74" t="s">
        <v>57</v>
      </c>
      <c r="B39" s="75"/>
      <c r="C39" s="87" t="s">
        <v>31</v>
      </c>
      <c r="D39" s="88"/>
      <c r="E39" s="88"/>
      <c r="F39" s="88"/>
      <c r="G39" s="89"/>
      <c r="H39" s="21" t="s">
        <v>23</v>
      </c>
      <c r="I39" s="22"/>
      <c r="J39" s="8"/>
      <c r="K39" s="8"/>
      <c r="L39" s="8"/>
      <c r="M39" s="8"/>
      <c r="N39" s="8"/>
      <c r="O39" s="8"/>
      <c r="P39" s="8"/>
      <c r="Q39" s="8"/>
      <c r="R39" s="8">
        <f t="shared" si="3"/>
        <v>0</v>
      </c>
      <c r="S39" s="23">
        <f t="shared" si="2"/>
        <v>0</v>
      </c>
    </row>
    <row r="40" spans="1:20" s="24" customFormat="1" ht="8.1" customHeight="1">
      <c r="A40" s="74" t="s">
        <v>58</v>
      </c>
      <c r="B40" s="75"/>
      <c r="C40" s="90" t="s">
        <v>33</v>
      </c>
      <c r="D40" s="91"/>
      <c r="E40" s="91"/>
      <c r="F40" s="91"/>
      <c r="G40" s="92"/>
      <c r="H40" s="21" t="s">
        <v>23</v>
      </c>
      <c r="I40" s="22"/>
      <c r="J40" s="8"/>
      <c r="K40" s="8"/>
      <c r="L40" s="8"/>
      <c r="M40" s="8"/>
      <c r="N40" s="8"/>
      <c r="O40" s="8"/>
      <c r="P40" s="8"/>
      <c r="Q40" s="8"/>
      <c r="R40" s="8">
        <f t="shared" si="3"/>
        <v>0</v>
      </c>
      <c r="S40" s="23">
        <f t="shared" si="2"/>
        <v>0</v>
      </c>
    </row>
    <row r="41" spans="1:20" s="24" customFormat="1" ht="8.1" customHeight="1">
      <c r="A41" s="74" t="s">
        <v>59</v>
      </c>
      <c r="B41" s="75"/>
      <c r="C41" s="90" t="s">
        <v>35</v>
      </c>
      <c r="D41" s="91"/>
      <c r="E41" s="91"/>
      <c r="F41" s="91"/>
      <c r="G41" s="92"/>
      <c r="H41" s="21" t="s">
        <v>23</v>
      </c>
      <c r="I41" s="22"/>
      <c r="J41" s="8"/>
      <c r="K41" s="8"/>
      <c r="L41" s="8"/>
      <c r="M41" s="8"/>
      <c r="N41" s="8"/>
      <c r="O41" s="8"/>
      <c r="P41" s="8"/>
      <c r="Q41" s="8"/>
      <c r="R41" s="8">
        <f t="shared" si="3"/>
        <v>0</v>
      </c>
      <c r="S41" s="23">
        <f t="shared" si="2"/>
        <v>0</v>
      </c>
    </row>
    <row r="42" spans="1:20" s="24" customFormat="1" ht="8.1" customHeight="1">
      <c r="A42" s="74" t="s">
        <v>60</v>
      </c>
      <c r="B42" s="75"/>
      <c r="C42" s="90" t="s">
        <v>37</v>
      </c>
      <c r="D42" s="91"/>
      <c r="E42" s="91"/>
      <c r="F42" s="91"/>
      <c r="G42" s="92"/>
      <c r="H42" s="21" t="s">
        <v>23</v>
      </c>
      <c r="I42" s="22"/>
      <c r="J42" s="8"/>
      <c r="K42" s="8"/>
      <c r="L42" s="8"/>
      <c r="M42" s="8"/>
      <c r="N42" s="8"/>
      <c r="O42" s="8"/>
      <c r="P42" s="8"/>
      <c r="Q42" s="8"/>
      <c r="R42" s="8">
        <f t="shared" si="3"/>
        <v>0</v>
      </c>
      <c r="S42" s="23">
        <f t="shared" si="2"/>
        <v>0</v>
      </c>
    </row>
    <row r="43" spans="1:20" s="24" customFormat="1" ht="8.1" customHeight="1">
      <c r="A43" s="74" t="s">
        <v>61</v>
      </c>
      <c r="B43" s="75"/>
      <c r="C43" s="90" t="s">
        <v>39</v>
      </c>
      <c r="D43" s="91"/>
      <c r="E43" s="91"/>
      <c r="F43" s="91"/>
      <c r="G43" s="92"/>
      <c r="H43" s="21" t="s">
        <v>23</v>
      </c>
      <c r="I43" s="22"/>
      <c r="J43" s="8"/>
      <c r="K43" s="8"/>
      <c r="L43" s="8"/>
      <c r="M43" s="8"/>
      <c r="N43" s="8"/>
      <c r="O43" s="8"/>
      <c r="P43" s="8"/>
      <c r="Q43" s="8"/>
      <c r="R43" s="8">
        <f t="shared" si="3"/>
        <v>0</v>
      </c>
      <c r="S43" s="23">
        <f t="shared" si="2"/>
        <v>0</v>
      </c>
    </row>
    <row r="44" spans="1:20" s="24" customFormat="1" ht="8.1" customHeight="1">
      <c r="A44" s="74" t="s">
        <v>62</v>
      </c>
      <c r="B44" s="75"/>
      <c r="C44" s="90" t="s">
        <v>41</v>
      </c>
      <c r="D44" s="91"/>
      <c r="E44" s="91"/>
      <c r="F44" s="91"/>
      <c r="G44" s="92"/>
      <c r="H44" s="21" t="s">
        <v>23</v>
      </c>
      <c r="I44" s="22">
        <f t="shared" ref="I44:Q44" si="7">I35-I49</f>
        <v>9659.3866467180778</v>
      </c>
      <c r="J44" s="8">
        <f>J35-J49</f>
        <v>7352.8042561805287</v>
      </c>
      <c r="K44" s="8">
        <f>K35-K49</f>
        <v>6688.8099999999995</v>
      </c>
      <c r="L44" s="8">
        <f t="shared" si="7"/>
        <v>7125.0995163235957</v>
      </c>
      <c r="M44" s="8">
        <f t="shared" si="7"/>
        <v>2050.7389999999996</v>
      </c>
      <c r="N44" s="8">
        <f t="shared" si="7"/>
        <v>7409.3396619606501</v>
      </c>
      <c r="O44" s="8">
        <f t="shared" si="7"/>
        <v>0</v>
      </c>
      <c r="P44" s="8">
        <f t="shared" si="7"/>
        <v>7705.7132484390759</v>
      </c>
      <c r="Q44" s="8">
        <f t="shared" si="7"/>
        <v>0</v>
      </c>
      <c r="R44" s="8">
        <f t="shared" si="3"/>
        <v>45941.153329621928</v>
      </c>
      <c r="S44" s="23">
        <f t="shared" si="2"/>
        <v>2050.7389999999996</v>
      </c>
    </row>
    <row r="45" spans="1:20" s="24" customFormat="1" ht="8.1" customHeight="1">
      <c r="A45" s="74" t="s">
        <v>63</v>
      </c>
      <c r="B45" s="75"/>
      <c r="C45" s="90" t="s">
        <v>43</v>
      </c>
      <c r="D45" s="91"/>
      <c r="E45" s="91"/>
      <c r="F45" s="91"/>
      <c r="G45" s="92"/>
      <c r="H45" s="21" t="s">
        <v>23</v>
      </c>
      <c r="I45" s="22"/>
      <c r="J45" s="8"/>
      <c r="K45" s="8"/>
      <c r="L45" s="8"/>
      <c r="M45" s="8"/>
      <c r="N45" s="8"/>
      <c r="O45" s="8"/>
      <c r="P45" s="8"/>
      <c r="Q45" s="8"/>
      <c r="R45" s="8">
        <f t="shared" si="3"/>
        <v>0</v>
      </c>
      <c r="S45" s="23">
        <f t="shared" si="2"/>
        <v>0</v>
      </c>
    </row>
    <row r="46" spans="1:20" s="24" customFormat="1" ht="16.5" customHeight="1">
      <c r="A46" s="74" t="s">
        <v>64</v>
      </c>
      <c r="B46" s="75"/>
      <c r="C46" s="90" t="s">
        <v>45</v>
      </c>
      <c r="D46" s="91"/>
      <c r="E46" s="91"/>
      <c r="F46" s="91"/>
      <c r="G46" s="92"/>
      <c r="H46" s="21" t="s">
        <v>23</v>
      </c>
      <c r="I46" s="22">
        <f t="shared" ref="I46:Q46" si="8">I47+I48</f>
        <v>0</v>
      </c>
      <c r="J46" s="8">
        <f t="shared" si="8"/>
        <v>0</v>
      </c>
      <c r="K46" s="8">
        <f t="shared" si="8"/>
        <v>0</v>
      </c>
      <c r="L46" s="8">
        <f t="shared" si="8"/>
        <v>0</v>
      </c>
      <c r="M46" s="8">
        <f t="shared" si="8"/>
        <v>0</v>
      </c>
      <c r="N46" s="8">
        <f t="shared" si="8"/>
        <v>0</v>
      </c>
      <c r="O46" s="8">
        <f t="shared" si="8"/>
        <v>0</v>
      </c>
      <c r="P46" s="8">
        <f t="shared" si="8"/>
        <v>0</v>
      </c>
      <c r="Q46" s="8">
        <f t="shared" si="8"/>
        <v>0</v>
      </c>
      <c r="R46" s="8">
        <f t="shared" si="3"/>
        <v>0</v>
      </c>
      <c r="S46" s="23">
        <f t="shared" si="2"/>
        <v>0</v>
      </c>
    </row>
    <row r="47" spans="1:20" s="24" customFormat="1" ht="8.1" customHeight="1">
      <c r="A47" s="74" t="s">
        <v>65</v>
      </c>
      <c r="B47" s="75"/>
      <c r="C47" s="87" t="s">
        <v>47</v>
      </c>
      <c r="D47" s="88"/>
      <c r="E47" s="88"/>
      <c r="F47" s="88"/>
      <c r="G47" s="89"/>
      <c r="H47" s="21" t="s">
        <v>23</v>
      </c>
      <c r="I47" s="22"/>
      <c r="J47" s="8"/>
      <c r="K47" s="8"/>
      <c r="L47" s="8"/>
      <c r="M47" s="8"/>
      <c r="N47" s="8"/>
      <c r="O47" s="8"/>
      <c r="P47" s="8"/>
      <c r="Q47" s="8"/>
      <c r="R47" s="8">
        <f t="shared" si="3"/>
        <v>0</v>
      </c>
      <c r="S47" s="23">
        <f t="shared" si="2"/>
        <v>0</v>
      </c>
    </row>
    <row r="48" spans="1:20" s="24" customFormat="1" ht="8.1" customHeight="1">
      <c r="A48" s="74" t="s">
        <v>66</v>
      </c>
      <c r="B48" s="75"/>
      <c r="C48" s="87" t="s">
        <v>49</v>
      </c>
      <c r="D48" s="88"/>
      <c r="E48" s="88"/>
      <c r="F48" s="88"/>
      <c r="G48" s="89"/>
      <c r="H48" s="21" t="s">
        <v>23</v>
      </c>
      <c r="I48" s="22"/>
      <c r="J48" s="8"/>
      <c r="K48" s="8"/>
      <c r="L48" s="8"/>
      <c r="M48" s="8"/>
      <c r="N48" s="8"/>
      <c r="O48" s="8"/>
      <c r="P48" s="8"/>
      <c r="Q48" s="8"/>
      <c r="R48" s="8">
        <f t="shared" si="3"/>
        <v>0</v>
      </c>
      <c r="S48" s="23">
        <f t="shared" si="2"/>
        <v>0</v>
      </c>
    </row>
    <row r="49" spans="1:19" s="24" customFormat="1" ht="8.1" customHeight="1">
      <c r="A49" s="74" t="s">
        <v>67</v>
      </c>
      <c r="B49" s="75"/>
      <c r="C49" s="90" t="s">
        <v>51</v>
      </c>
      <c r="D49" s="91"/>
      <c r="E49" s="91"/>
      <c r="F49" s="91"/>
      <c r="G49" s="92"/>
      <c r="H49" s="21" t="s">
        <v>23</v>
      </c>
      <c r="I49" s="22">
        <v>18.7</v>
      </c>
      <c r="J49" s="8">
        <f>13018.96854/1000</f>
        <v>13.018968539999999</v>
      </c>
      <c r="K49" s="8">
        <v>19.748999999999999</v>
      </c>
      <c r="L49" s="8">
        <v>45.831760000000003</v>
      </c>
      <c r="M49" s="8">
        <v>6.6349999999999998</v>
      </c>
      <c r="N49" s="8">
        <v>47.665030400000006</v>
      </c>
      <c r="O49" s="8"/>
      <c r="P49" s="8">
        <v>49.571631616000005</v>
      </c>
      <c r="Q49" s="8"/>
      <c r="R49" s="8">
        <f t="shared" si="3"/>
        <v>194.53639055600001</v>
      </c>
      <c r="S49" s="23">
        <f t="shared" si="2"/>
        <v>6.6349999999999998</v>
      </c>
    </row>
    <row r="50" spans="1:19" s="24" customFormat="1" ht="8.1" customHeight="1">
      <c r="A50" s="74" t="s">
        <v>68</v>
      </c>
      <c r="B50" s="75"/>
      <c r="C50" s="90" t="s">
        <v>69</v>
      </c>
      <c r="D50" s="91"/>
      <c r="E50" s="91"/>
      <c r="F50" s="91"/>
      <c r="G50" s="92"/>
      <c r="H50" s="21" t="s">
        <v>23</v>
      </c>
      <c r="I50" s="22">
        <f t="shared" ref="I50:Q50" si="9">I51+I52+I57+I58</f>
        <v>5461.6492270200006</v>
      </c>
      <c r="J50" s="8">
        <f t="shared" si="9"/>
        <v>3513.4406723315496</v>
      </c>
      <c r="K50" s="8">
        <f t="shared" si="9"/>
        <v>2806.3330000000001</v>
      </c>
      <c r="L50" s="8">
        <f t="shared" si="9"/>
        <v>2898.3545659771812</v>
      </c>
      <c r="M50" s="8">
        <f t="shared" si="9"/>
        <v>868.77</v>
      </c>
      <c r="N50" s="8">
        <f t="shared" si="9"/>
        <v>3014.2887486162681</v>
      </c>
      <c r="O50" s="8">
        <f t="shared" si="9"/>
        <v>0</v>
      </c>
      <c r="P50" s="8">
        <f t="shared" si="9"/>
        <v>3134.8602985609191</v>
      </c>
      <c r="Q50" s="8">
        <f t="shared" si="9"/>
        <v>0</v>
      </c>
      <c r="R50" s="8">
        <f t="shared" si="3"/>
        <v>20828.926512505917</v>
      </c>
      <c r="S50" s="23">
        <f t="shared" si="2"/>
        <v>868.77</v>
      </c>
    </row>
    <row r="51" spans="1:19" s="24" customFormat="1" ht="8.1" customHeight="1">
      <c r="A51" s="74" t="s">
        <v>55</v>
      </c>
      <c r="B51" s="75"/>
      <c r="C51" s="87" t="s">
        <v>70</v>
      </c>
      <c r="D51" s="88"/>
      <c r="E51" s="88"/>
      <c r="F51" s="88"/>
      <c r="G51" s="89"/>
      <c r="H51" s="21" t="s">
        <v>23</v>
      </c>
      <c r="I51" s="22"/>
      <c r="J51" s="8"/>
      <c r="K51" s="8"/>
      <c r="L51" s="8"/>
      <c r="M51" s="8"/>
      <c r="N51" s="8"/>
      <c r="O51" s="8"/>
      <c r="P51" s="8"/>
      <c r="Q51" s="8"/>
      <c r="R51" s="8">
        <f t="shared" si="3"/>
        <v>0</v>
      </c>
      <c r="S51" s="23">
        <f t="shared" si="2"/>
        <v>0</v>
      </c>
    </row>
    <row r="52" spans="1:19" s="24" customFormat="1" ht="8.1" customHeight="1">
      <c r="A52" s="74" t="s">
        <v>56</v>
      </c>
      <c r="B52" s="75"/>
      <c r="C52" s="87" t="s">
        <v>71</v>
      </c>
      <c r="D52" s="88"/>
      <c r="E52" s="88"/>
      <c r="F52" s="88"/>
      <c r="G52" s="89"/>
      <c r="H52" s="21" t="s">
        <v>23</v>
      </c>
      <c r="I52" s="22">
        <f t="shared" ref="I52:Q52" si="10">I53+I56</f>
        <v>5440.3</v>
      </c>
      <c r="J52" s="8">
        <f t="shared" si="10"/>
        <v>3492.1238457915497</v>
      </c>
      <c r="K52" s="8">
        <f t="shared" si="10"/>
        <v>2787.46</v>
      </c>
      <c r="L52" s="8">
        <f t="shared" si="10"/>
        <v>2874.7561762944338</v>
      </c>
      <c r="M52" s="8">
        <f t="shared" si="10"/>
        <v>862.81399999999996</v>
      </c>
      <c r="N52" s="8">
        <f t="shared" si="10"/>
        <v>2989.746423346211</v>
      </c>
      <c r="O52" s="8">
        <f t="shared" si="10"/>
        <v>0</v>
      </c>
      <c r="P52" s="8">
        <f t="shared" si="10"/>
        <v>3109.3362802800598</v>
      </c>
      <c r="Q52" s="8">
        <f t="shared" si="10"/>
        <v>0</v>
      </c>
      <c r="R52" s="8">
        <f t="shared" si="3"/>
        <v>20693.72272571225</v>
      </c>
      <c r="S52" s="23">
        <f t="shared" si="2"/>
        <v>862.81399999999996</v>
      </c>
    </row>
    <row r="53" spans="1:19" s="24" customFormat="1" ht="8.1" customHeight="1">
      <c r="A53" s="74" t="s">
        <v>72</v>
      </c>
      <c r="B53" s="75"/>
      <c r="C53" s="78" t="s">
        <v>73</v>
      </c>
      <c r="D53" s="79"/>
      <c r="E53" s="79"/>
      <c r="F53" s="79"/>
      <c r="G53" s="80"/>
      <c r="H53" s="21" t="s">
        <v>23</v>
      </c>
      <c r="I53" s="22">
        <f t="shared" ref="I53:Q53" si="11">I54+I55</f>
        <v>5440.3</v>
      </c>
      <c r="J53" s="8">
        <f t="shared" si="11"/>
        <v>3492.1238457915497</v>
      </c>
      <c r="K53" s="8">
        <f t="shared" si="11"/>
        <v>2787.46</v>
      </c>
      <c r="L53" s="8">
        <f t="shared" si="11"/>
        <v>2874.7561762944338</v>
      </c>
      <c r="M53" s="8">
        <f t="shared" si="11"/>
        <v>862.81399999999996</v>
      </c>
      <c r="N53" s="8">
        <f t="shared" si="11"/>
        <v>2989.746423346211</v>
      </c>
      <c r="O53" s="8">
        <f t="shared" si="11"/>
        <v>0</v>
      </c>
      <c r="P53" s="8">
        <f t="shared" si="11"/>
        <v>3109.3362802800598</v>
      </c>
      <c r="Q53" s="8">
        <f t="shared" si="11"/>
        <v>0</v>
      </c>
      <c r="R53" s="8">
        <f t="shared" si="3"/>
        <v>20693.72272571225</v>
      </c>
      <c r="S53" s="23">
        <f t="shared" si="2"/>
        <v>862.81399999999996</v>
      </c>
    </row>
    <row r="54" spans="1:19" s="24" customFormat="1" ht="16.5" customHeight="1">
      <c r="A54" s="74" t="s">
        <v>74</v>
      </c>
      <c r="B54" s="75"/>
      <c r="C54" s="81" t="s">
        <v>75</v>
      </c>
      <c r="D54" s="82"/>
      <c r="E54" s="82"/>
      <c r="F54" s="82"/>
      <c r="G54" s="83"/>
      <c r="H54" s="21" t="s">
        <v>23</v>
      </c>
      <c r="I54" s="22"/>
      <c r="J54" s="8"/>
      <c r="K54" s="8"/>
      <c r="L54" s="8"/>
      <c r="M54" s="8"/>
      <c r="N54" s="8"/>
      <c r="O54" s="8"/>
      <c r="P54" s="8"/>
      <c r="Q54" s="8"/>
      <c r="R54" s="8">
        <f t="shared" si="3"/>
        <v>0</v>
      </c>
      <c r="S54" s="23">
        <f t="shared" si="2"/>
        <v>0</v>
      </c>
    </row>
    <row r="55" spans="1:19" s="24" customFormat="1" ht="8.1" customHeight="1">
      <c r="A55" s="74" t="s">
        <v>76</v>
      </c>
      <c r="B55" s="75"/>
      <c r="C55" s="81" t="s">
        <v>77</v>
      </c>
      <c r="D55" s="82"/>
      <c r="E55" s="82"/>
      <c r="F55" s="82"/>
      <c r="G55" s="83"/>
      <c r="H55" s="21" t="s">
        <v>23</v>
      </c>
      <c r="I55" s="22">
        <v>5440.3</v>
      </c>
      <c r="J55" s="8">
        <f>3492123.84579155/1000</f>
        <v>3492.1238457915497</v>
      </c>
      <c r="K55" s="8">
        <v>2787.46</v>
      </c>
      <c r="L55" s="8">
        <v>2874.7561762944338</v>
      </c>
      <c r="M55" s="8">
        <v>862.81399999999996</v>
      </c>
      <c r="N55" s="8">
        <v>2989.746423346211</v>
      </c>
      <c r="O55" s="8"/>
      <c r="P55" s="8">
        <v>3109.3362802800598</v>
      </c>
      <c r="Q55" s="8"/>
      <c r="R55" s="8">
        <f t="shared" si="3"/>
        <v>20693.72272571225</v>
      </c>
      <c r="S55" s="23">
        <f t="shared" si="2"/>
        <v>862.81399999999996</v>
      </c>
    </row>
    <row r="56" spans="1:19" s="24" customFormat="1" ht="8.1" customHeight="1">
      <c r="A56" s="74" t="s">
        <v>78</v>
      </c>
      <c r="B56" s="75"/>
      <c r="C56" s="78" t="s">
        <v>79</v>
      </c>
      <c r="D56" s="79"/>
      <c r="E56" s="79"/>
      <c r="F56" s="79"/>
      <c r="G56" s="80"/>
      <c r="H56" s="21" t="s">
        <v>23</v>
      </c>
      <c r="I56" s="22"/>
      <c r="J56" s="8"/>
      <c r="K56" s="8"/>
      <c r="L56" s="8"/>
      <c r="M56" s="8"/>
      <c r="N56" s="8"/>
      <c r="O56" s="8"/>
      <c r="P56" s="8"/>
      <c r="Q56" s="8"/>
      <c r="R56" s="8">
        <f t="shared" si="3"/>
        <v>0</v>
      </c>
      <c r="S56" s="23">
        <f t="shared" si="2"/>
        <v>0</v>
      </c>
    </row>
    <row r="57" spans="1:19" s="24" customFormat="1" ht="8.1" customHeight="1">
      <c r="A57" s="74" t="s">
        <v>57</v>
      </c>
      <c r="B57" s="75"/>
      <c r="C57" s="87" t="s">
        <v>80</v>
      </c>
      <c r="D57" s="88"/>
      <c r="E57" s="88"/>
      <c r="F57" s="88"/>
      <c r="G57" s="89"/>
      <c r="H57" s="21" t="s">
        <v>23</v>
      </c>
      <c r="I57" s="22">
        <f>21349.22702/1000</f>
        <v>21.349227019999997</v>
      </c>
      <c r="J57" s="8">
        <f>21316.82654/1000</f>
        <v>21.316826539999997</v>
      </c>
      <c r="K57" s="8">
        <v>18.873000000000001</v>
      </c>
      <c r="L57" s="8">
        <v>23.598389682747257</v>
      </c>
      <c r="M57" s="8">
        <v>5.9560000000000004</v>
      </c>
      <c r="N57" s="8">
        <v>24.542325270057148</v>
      </c>
      <c r="O57" s="8"/>
      <c r="P57" s="8">
        <v>25.524018280859433</v>
      </c>
      <c r="Q57" s="8"/>
      <c r="R57" s="8">
        <f t="shared" si="3"/>
        <v>135.20378679366382</v>
      </c>
      <c r="S57" s="23">
        <f t="shared" si="2"/>
        <v>5.9560000000000004</v>
      </c>
    </row>
    <row r="58" spans="1:19" s="24" customFormat="1" ht="8.1" customHeight="1">
      <c r="A58" s="74" t="s">
        <v>81</v>
      </c>
      <c r="B58" s="75"/>
      <c r="C58" s="87" t="s">
        <v>82</v>
      </c>
      <c r="D58" s="88"/>
      <c r="E58" s="88"/>
      <c r="F58" s="88"/>
      <c r="G58" s="89"/>
      <c r="H58" s="21" t="s">
        <v>23</v>
      </c>
      <c r="I58" s="22"/>
      <c r="J58" s="8"/>
      <c r="K58" s="8"/>
      <c r="L58" s="8"/>
      <c r="M58" s="8"/>
      <c r="N58" s="8"/>
      <c r="O58" s="8"/>
      <c r="P58" s="8"/>
      <c r="Q58" s="8"/>
      <c r="R58" s="8">
        <f t="shared" si="3"/>
        <v>0</v>
      </c>
      <c r="S58" s="23">
        <f t="shared" si="2"/>
        <v>0</v>
      </c>
    </row>
    <row r="59" spans="1:19" s="24" customFormat="1" ht="8.1" customHeight="1">
      <c r="A59" s="74" t="s">
        <v>83</v>
      </c>
      <c r="B59" s="75"/>
      <c r="C59" s="90" t="s">
        <v>84</v>
      </c>
      <c r="D59" s="91"/>
      <c r="E59" s="91"/>
      <c r="F59" s="91"/>
      <c r="G59" s="92"/>
      <c r="H59" s="21" t="s">
        <v>23</v>
      </c>
      <c r="I59" s="22">
        <f t="shared" ref="I59:Q59" si="12">I60+I61+I62+I63+I64</f>
        <v>3711.6652851280778</v>
      </c>
      <c r="J59" s="8">
        <f t="shared" si="12"/>
        <v>3382.14625500898</v>
      </c>
      <c r="K59" s="8">
        <f t="shared" si="12"/>
        <v>3265.511</v>
      </c>
      <c r="L59" s="8">
        <f>L60+L61+L62+L63+L64</f>
        <v>3552.475510346414</v>
      </c>
      <c r="M59" s="8">
        <f t="shared" si="12"/>
        <v>1025.751</v>
      </c>
      <c r="N59" s="8">
        <f t="shared" si="12"/>
        <v>3693.8106957443815</v>
      </c>
      <c r="O59" s="8">
        <f t="shared" si="12"/>
        <v>0</v>
      </c>
      <c r="P59" s="8">
        <f t="shared" si="12"/>
        <v>3841.5631235741566</v>
      </c>
      <c r="Q59" s="8">
        <f t="shared" si="12"/>
        <v>0</v>
      </c>
      <c r="R59" s="8">
        <f t="shared" si="3"/>
        <v>21447.171869802009</v>
      </c>
      <c r="S59" s="23">
        <f t="shared" si="2"/>
        <v>1025.751</v>
      </c>
    </row>
    <row r="60" spans="1:19" s="24" customFormat="1" ht="16.5" customHeight="1">
      <c r="A60" s="74" t="s">
        <v>85</v>
      </c>
      <c r="B60" s="75"/>
      <c r="C60" s="87" t="s">
        <v>86</v>
      </c>
      <c r="D60" s="88"/>
      <c r="E60" s="88"/>
      <c r="F60" s="88"/>
      <c r="G60" s="89"/>
      <c r="H60" s="21" t="s">
        <v>23</v>
      </c>
      <c r="I60" s="22"/>
      <c r="J60" s="8"/>
      <c r="K60" s="8"/>
      <c r="L60" s="8"/>
      <c r="M60" s="8"/>
      <c r="N60" s="8"/>
      <c r="O60" s="8"/>
      <c r="P60" s="8"/>
      <c r="Q60" s="8"/>
      <c r="R60" s="8">
        <f t="shared" si="3"/>
        <v>0</v>
      </c>
      <c r="S60" s="23">
        <f t="shared" si="2"/>
        <v>0</v>
      </c>
    </row>
    <row r="61" spans="1:19" s="24" customFormat="1" ht="16.5" customHeight="1">
      <c r="A61" s="74" t="s">
        <v>87</v>
      </c>
      <c r="B61" s="75"/>
      <c r="C61" s="87" t="s">
        <v>88</v>
      </c>
      <c r="D61" s="88"/>
      <c r="E61" s="88"/>
      <c r="F61" s="88"/>
      <c r="G61" s="89"/>
      <c r="H61" s="21" t="s">
        <v>23</v>
      </c>
      <c r="I61" s="22">
        <f>3702163.44535/1000</f>
        <v>3702.1634453500001</v>
      </c>
      <c r="J61" s="8">
        <f>3360240.79112/1000</f>
        <v>3360.2407911200003</v>
      </c>
      <c r="K61" s="8">
        <v>3256.125</v>
      </c>
      <c r="L61" s="8">
        <v>3542.6982491516933</v>
      </c>
      <c r="M61" s="8">
        <v>1022.893</v>
      </c>
      <c r="N61" s="8">
        <v>3684.406179117761</v>
      </c>
      <c r="O61" s="8"/>
      <c r="P61" s="8">
        <v>3831.7824262824715</v>
      </c>
      <c r="Q61" s="8"/>
      <c r="R61" s="8">
        <f t="shared" si="3"/>
        <v>21377.416091021929</v>
      </c>
      <c r="S61" s="23">
        <f t="shared" si="2"/>
        <v>1022.893</v>
      </c>
    </row>
    <row r="62" spans="1:19" s="24" customFormat="1" ht="8.1" customHeight="1">
      <c r="A62" s="74" t="s">
        <v>89</v>
      </c>
      <c r="B62" s="75"/>
      <c r="C62" s="87" t="s">
        <v>90</v>
      </c>
      <c r="D62" s="88"/>
      <c r="E62" s="88"/>
      <c r="F62" s="88"/>
      <c r="G62" s="89"/>
      <c r="H62" s="21" t="s">
        <v>23</v>
      </c>
      <c r="I62" s="22"/>
      <c r="J62" s="8"/>
      <c r="K62" s="8"/>
      <c r="L62" s="8"/>
      <c r="M62" s="8"/>
      <c r="N62" s="8"/>
      <c r="O62" s="8"/>
      <c r="P62" s="8"/>
      <c r="Q62" s="8"/>
      <c r="R62" s="8">
        <f t="shared" si="3"/>
        <v>0</v>
      </c>
      <c r="S62" s="23">
        <f t="shared" si="2"/>
        <v>0</v>
      </c>
    </row>
    <row r="63" spans="1:19" s="24" customFormat="1" ht="8.1" customHeight="1">
      <c r="A63" s="74" t="s">
        <v>91</v>
      </c>
      <c r="B63" s="75"/>
      <c r="C63" s="87" t="s">
        <v>92</v>
      </c>
      <c r="D63" s="88"/>
      <c r="E63" s="88"/>
      <c r="F63" s="88"/>
      <c r="G63" s="89"/>
      <c r="H63" s="21" t="s">
        <v>23</v>
      </c>
      <c r="I63" s="22">
        <f>9374.1566880774/1000</f>
        <v>9.3741566880774005</v>
      </c>
      <c r="J63" s="8">
        <f>9148.96121898/1000</f>
        <v>9.1489612189799985</v>
      </c>
      <c r="K63" s="8">
        <v>8.7040000000000006</v>
      </c>
      <c r="L63" s="8">
        <v>9.0428044486735075</v>
      </c>
      <c r="M63" s="8">
        <v>2.7490000000000001</v>
      </c>
      <c r="N63" s="8">
        <v>9.404516626620449</v>
      </c>
      <c r="O63" s="8"/>
      <c r="P63" s="8">
        <v>9.7806972916852679</v>
      </c>
      <c r="Q63" s="8"/>
      <c r="R63" s="8">
        <f t="shared" si="3"/>
        <v>55.455136274036619</v>
      </c>
      <c r="S63" s="23">
        <f t="shared" si="2"/>
        <v>2.7490000000000001</v>
      </c>
    </row>
    <row r="64" spans="1:19" s="24" customFormat="1" ht="8.1" customHeight="1">
      <c r="A64" s="74" t="s">
        <v>93</v>
      </c>
      <c r="B64" s="75"/>
      <c r="C64" s="87" t="s">
        <v>94</v>
      </c>
      <c r="D64" s="88"/>
      <c r="E64" s="88"/>
      <c r="F64" s="88"/>
      <c r="G64" s="89"/>
      <c r="H64" s="21" t="s">
        <v>23</v>
      </c>
      <c r="I64" s="22">
        <f>127.68309/1000</f>
        <v>0.12768309</v>
      </c>
      <c r="J64" s="8">
        <f>12756.50267/1000</f>
        <v>12.75650267</v>
      </c>
      <c r="K64" s="8">
        <v>0.68200000000000005</v>
      </c>
      <c r="L64" s="8">
        <v>0.7344567460474577</v>
      </c>
      <c r="M64" s="8">
        <v>0.109</v>
      </c>
      <c r="N64" s="8"/>
      <c r="O64" s="8"/>
      <c r="P64" s="8"/>
      <c r="Q64" s="8"/>
      <c r="R64" s="8">
        <f t="shared" si="3"/>
        <v>14.300642506047458</v>
      </c>
      <c r="S64" s="23">
        <f t="shared" si="2"/>
        <v>0.109</v>
      </c>
    </row>
    <row r="65" spans="1:19" s="24" customFormat="1" ht="8.1" customHeight="1">
      <c r="A65" s="74" t="s">
        <v>95</v>
      </c>
      <c r="B65" s="75"/>
      <c r="C65" s="90" t="s">
        <v>96</v>
      </c>
      <c r="D65" s="91"/>
      <c r="E65" s="91"/>
      <c r="F65" s="91"/>
      <c r="G65" s="92"/>
      <c r="H65" s="21" t="s">
        <v>23</v>
      </c>
      <c r="I65" s="22">
        <f>(277892.95222+79508.20421+3492.40294)/1000</f>
        <v>360.89355936999999</v>
      </c>
      <c r="J65" s="8">
        <f>(316753.38577+89600.79458+3170.75728)/1000</f>
        <v>409.52493763000001</v>
      </c>
      <c r="K65" s="8">
        <v>472.589</v>
      </c>
      <c r="L65" s="8">
        <v>538.38927999999999</v>
      </c>
      <c r="M65" s="8">
        <v>128.1</v>
      </c>
      <c r="N65" s="8">
        <v>559.92485120000003</v>
      </c>
      <c r="O65" s="8"/>
      <c r="P65" s="8">
        <v>582.32184524800005</v>
      </c>
      <c r="Q65" s="8"/>
      <c r="R65" s="8">
        <f t="shared" si="3"/>
        <v>2923.6434734479999</v>
      </c>
      <c r="S65" s="23">
        <f t="shared" si="2"/>
        <v>128.1</v>
      </c>
    </row>
    <row r="66" spans="1:19" s="24" customFormat="1" ht="8.1" customHeight="1">
      <c r="A66" s="74" t="s">
        <v>97</v>
      </c>
      <c r="B66" s="75"/>
      <c r="C66" s="90" t="s">
        <v>98</v>
      </c>
      <c r="D66" s="91"/>
      <c r="E66" s="91"/>
      <c r="F66" s="91"/>
      <c r="G66" s="92"/>
      <c r="H66" s="21" t="s">
        <v>23</v>
      </c>
      <c r="I66" s="22">
        <f>5961.37258/1000</f>
        <v>5.9613725799999999</v>
      </c>
      <c r="J66" s="8">
        <f>4283.56794/1000</f>
        <v>4.2835679400000002</v>
      </c>
      <c r="K66" s="8">
        <v>4.1390000000000002</v>
      </c>
      <c r="L66" s="8">
        <v>4.7184800000000005</v>
      </c>
      <c r="M66" s="8">
        <v>0.92600000000000005</v>
      </c>
      <c r="N66" s="8">
        <v>4.907219200000001</v>
      </c>
      <c r="O66" s="8"/>
      <c r="P66" s="8">
        <v>5.1035079680000015</v>
      </c>
      <c r="Q66" s="8"/>
      <c r="R66" s="8">
        <f t="shared" si="3"/>
        <v>29.113147688000002</v>
      </c>
      <c r="S66" s="23">
        <f t="shared" si="2"/>
        <v>0.92600000000000005</v>
      </c>
    </row>
    <row r="67" spans="1:19" s="24" customFormat="1" ht="8.1" customHeight="1">
      <c r="A67" s="74" t="s">
        <v>99</v>
      </c>
      <c r="B67" s="75"/>
      <c r="C67" s="90" t="s">
        <v>100</v>
      </c>
      <c r="D67" s="91"/>
      <c r="E67" s="91"/>
      <c r="F67" s="91"/>
      <c r="G67" s="92"/>
      <c r="H67" s="21" t="s">
        <v>23</v>
      </c>
      <c r="I67" s="22">
        <f t="shared" ref="I67:Q67" si="13">I68+I69</f>
        <v>0.38111368000000001</v>
      </c>
      <c r="J67" s="8">
        <f t="shared" si="13"/>
        <v>0.40376785999999998</v>
      </c>
      <c r="K67" s="8">
        <f t="shared" si="13"/>
        <v>0.4</v>
      </c>
      <c r="L67" s="8">
        <f t="shared" si="13"/>
        <v>0.47840000000000005</v>
      </c>
      <c r="M67" s="8">
        <f t="shared" si="13"/>
        <v>9.9000000000000005E-2</v>
      </c>
      <c r="N67" s="8">
        <f t="shared" si="13"/>
        <v>0.49753600000000009</v>
      </c>
      <c r="O67" s="8">
        <f t="shared" si="13"/>
        <v>0</v>
      </c>
      <c r="P67" s="8">
        <f t="shared" si="13"/>
        <v>0.51743744000000014</v>
      </c>
      <c r="Q67" s="8">
        <f t="shared" si="13"/>
        <v>0</v>
      </c>
      <c r="R67" s="8">
        <f t="shared" si="3"/>
        <v>2.6782549800000006</v>
      </c>
      <c r="S67" s="23">
        <f t="shared" si="2"/>
        <v>9.9000000000000005E-2</v>
      </c>
    </row>
    <row r="68" spans="1:19" s="24" customFormat="1" ht="8.1" customHeight="1">
      <c r="A68" s="74" t="s">
        <v>101</v>
      </c>
      <c r="B68" s="75"/>
      <c r="C68" s="87" t="s">
        <v>102</v>
      </c>
      <c r="D68" s="88"/>
      <c r="E68" s="88"/>
      <c r="F68" s="88"/>
      <c r="G68" s="89"/>
      <c r="H68" s="21" t="s">
        <v>23</v>
      </c>
      <c r="I68" s="22">
        <f>104.512/1000</f>
        <v>0.10451199999999999</v>
      </c>
      <c r="J68" s="8">
        <f>0.09745</f>
        <v>9.7449999999999995E-2</v>
      </c>
      <c r="K68" s="8">
        <v>0.129</v>
      </c>
      <c r="L68" s="8">
        <v>0.10815999999999999</v>
      </c>
      <c r="M68" s="8">
        <v>3.1E-2</v>
      </c>
      <c r="N68" s="8">
        <v>0.1124864</v>
      </c>
      <c r="O68" s="8"/>
      <c r="P68" s="8">
        <v>0.116985856</v>
      </c>
      <c r="Q68" s="8"/>
      <c r="R68" s="8">
        <f t="shared" si="3"/>
        <v>0.668594256</v>
      </c>
      <c r="S68" s="23">
        <f t="shared" si="2"/>
        <v>3.1E-2</v>
      </c>
    </row>
    <row r="69" spans="1:19" s="24" customFormat="1" ht="8.1" customHeight="1">
      <c r="A69" s="74" t="s">
        <v>103</v>
      </c>
      <c r="B69" s="75"/>
      <c r="C69" s="87" t="s">
        <v>104</v>
      </c>
      <c r="D69" s="88"/>
      <c r="E69" s="88"/>
      <c r="F69" s="88"/>
      <c r="G69" s="89"/>
      <c r="H69" s="21" t="s">
        <v>23</v>
      </c>
      <c r="I69" s="22">
        <f>381.11368/1000-I68</f>
        <v>0.27660168000000002</v>
      </c>
      <c r="J69" s="8">
        <f>403.76786/1000-J68</f>
        <v>0.30631786</v>
      </c>
      <c r="K69" s="8">
        <f>0.4-K68</f>
        <v>0.27100000000000002</v>
      </c>
      <c r="L69" s="8">
        <v>0.37024000000000007</v>
      </c>
      <c r="M69" s="8">
        <f>0.099-0.031</f>
        <v>6.8000000000000005E-2</v>
      </c>
      <c r="N69" s="8">
        <v>0.3850496000000001</v>
      </c>
      <c r="O69" s="8"/>
      <c r="P69" s="8">
        <v>0.40045158400000014</v>
      </c>
      <c r="Q69" s="8"/>
      <c r="R69" s="8">
        <f t="shared" si="3"/>
        <v>2.0096607240000002</v>
      </c>
      <c r="S69" s="23">
        <f t="shared" si="2"/>
        <v>6.8000000000000005E-2</v>
      </c>
    </row>
    <row r="70" spans="1:19" s="24" customFormat="1" ht="8.1" customHeight="1">
      <c r="A70" s="74" t="s">
        <v>105</v>
      </c>
      <c r="B70" s="75"/>
      <c r="C70" s="90" t="s">
        <v>106</v>
      </c>
      <c r="D70" s="91"/>
      <c r="E70" s="91"/>
      <c r="F70" s="91"/>
      <c r="G70" s="92"/>
      <c r="H70" s="21" t="s">
        <v>23</v>
      </c>
      <c r="I70" s="22">
        <f t="shared" ref="I70:Q70" si="14">I71+I72+I73</f>
        <v>137.53608893999998</v>
      </c>
      <c r="J70" s="8">
        <f t="shared" si="14"/>
        <v>56.024023949999986</v>
      </c>
      <c r="K70" s="8">
        <f t="shared" si="14"/>
        <v>159.58699999999999</v>
      </c>
      <c r="L70" s="8">
        <f t="shared" si="14"/>
        <v>176.51504</v>
      </c>
      <c r="M70" s="8">
        <f t="shared" si="14"/>
        <v>33.728000000000002</v>
      </c>
      <c r="N70" s="8">
        <f t="shared" si="14"/>
        <v>183.57564160000004</v>
      </c>
      <c r="O70" s="8">
        <f t="shared" si="14"/>
        <v>0</v>
      </c>
      <c r="P70" s="8">
        <f t="shared" si="14"/>
        <v>190.91866726400002</v>
      </c>
      <c r="Q70" s="8">
        <f t="shared" si="14"/>
        <v>0</v>
      </c>
      <c r="R70" s="8">
        <f t="shared" si="3"/>
        <v>904.15646175400002</v>
      </c>
      <c r="S70" s="23">
        <f t="shared" si="2"/>
        <v>33.728000000000002</v>
      </c>
    </row>
    <row r="71" spans="1:19" s="24" customFormat="1" ht="8.1" customHeight="1">
      <c r="A71" s="74" t="s">
        <v>107</v>
      </c>
      <c r="B71" s="75"/>
      <c r="C71" s="87" t="s">
        <v>108</v>
      </c>
      <c r="D71" s="88"/>
      <c r="E71" s="88"/>
      <c r="F71" s="88"/>
      <c r="G71" s="89"/>
      <c r="H71" s="21" t="s">
        <v>23</v>
      </c>
      <c r="I71" s="22"/>
      <c r="J71" s="8"/>
      <c r="K71" s="8"/>
      <c r="L71" s="8"/>
      <c r="M71" s="8"/>
      <c r="N71" s="8"/>
      <c r="O71" s="8"/>
      <c r="P71" s="8"/>
      <c r="Q71" s="8"/>
      <c r="R71" s="8">
        <f t="shared" si="3"/>
        <v>0</v>
      </c>
      <c r="S71" s="23">
        <f t="shared" si="2"/>
        <v>0</v>
      </c>
    </row>
    <row r="72" spans="1:19" s="24" customFormat="1" ht="8.1" customHeight="1">
      <c r="A72" s="74" t="s">
        <v>109</v>
      </c>
      <c r="B72" s="75"/>
      <c r="C72" s="87" t="s">
        <v>110</v>
      </c>
      <c r="D72" s="88"/>
      <c r="E72" s="88"/>
      <c r="F72" s="88"/>
      <c r="G72" s="89"/>
      <c r="H72" s="21" t="s">
        <v>23</v>
      </c>
      <c r="I72" s="22">
        <f>19118.72911/1000</f>
        <v>19.11872911</v>
      </c>
      <c r="J72" s="8">
        <f>17884.37048/1000</f>
        <v>17.884370480000001</v>
      </c>
      <c r="K72" s="8">
        <v>25.367000000000001</v>
      </c>
      <c r="L72" s="8">
        <v>25.326080000000001</v>
      </c>
      <c r="M72" s="8">
        <v>5.8230000000000004</v>
      </c>
      <c r="N72" s="8">
        <v>26.339123200000003</v>
      </c>
      <c r="O72" s="8"/>
      <c r="P72" s="8">
        <v>27.392688128000003</v>
      </c>
      <c r="Q72" s="8"/>
      <c r="R72" s="8">
        <f t="shared" si="3"/>
        <v>141.42799091800003</v>
      </c>
      <c r="S72" s="23">
        <f t="shared" si="2"/>
        <v>5.8230000000000004</v>
      </c>
    </row>
    <row r="73" spans="1:19" s="24" customFormat="1" ht="9" thickBot="1">
      <c r="A73" s="96" t="s">
        <v>111</v>
      </c>
      <c r="B73" s="97"/>
      <c r="C73" s="98" t="s">
        <v>112</v>
      </c>
      <c r="D73" s="99"/>
      <c r="E73" s="99"/>
      <c r="F73" s="99"/>
      <c r="G73" s="100"/>
      <c r="H73" s="48" t="s">
        <v>23</v>
      </c>
      <c r="I73" s="49">
        <f>137917.20262/1000-I67-I72</f>
        <v>118.41735982999998</v>
      </c>
      <c r="J73" s="9">
        <f>84350.79181/1000-J67-J72-27.923</f>
        <v>38.139653469999985</v>
      </c>
      <c r="K73" s="9">
        <f>138.247-K67-K72+21.74</f>
        <v>134.22</v>
      </c>
      <c r="L73" s="9">
        <v>151.18896000000001</v>
      </c>
      <c r="M73" s="9">
        <f>33.427-M67-M72+0.4</f>
        <v>27.905000000000001</v>
      </c>
      <c r="N73" s="9">
        <v>157.23651840000002</v>
      </c>
      <c r="O73" s="9"/>
      <c r="P73" s="9">
        <v>163.52597913600002</v>
      </c>
      <c r="Q73" s="9"/>
      <c r="R73" s="9">
        <f t="shared" si="3"/>
        <v>762.72847083600004</v>
      </c>
      <c r="S73" s="50">
        <f t="shared" si="2"/>
        <v>27.905000000000001</v>
      </c>
    </row>
    <row r="74" spans="1:19" s="24" customFormat="1" ht="9.75" customHeight="1">
      <c r="A74" s="76" t="s">
        <v>113</v>
      </c>
      <c r="B74" s="77"/>
      <c r="C74" s="166" t="s">
        <v>114</v>
      </c>
      <c r="D74" s="167"/>
      <c r="E74" s="167"/>
      <c r="F74" s="167"/>
      <c r="G74" s="168"/>
      <c r="H74" s="45" t="s">
        <v>23</v>
      </c>
      <c r="I74" s="46">
        <f t="shared" ref="I74:Q74" si="15">I75+I76+I77</f>
        <v>4218.2868757899996</v>
      </c>
      <c r="J74" s="7">
        <f t="shared" si="15"/>
        <v>3880.9279162900002</v>
      </c>
      <c r="K74" s="7">
        <f t="shared" si="15"/>
        <v>3880.864</v>
      </c>
      <c r="L74" s="7">
        <f t="shared" si="15"/>
        <v>4157.2499839298489</v>
      </c>
      <c r="M74" s="7">
        <f t="shared" si="15"/>
        <v>1187.8610000000001</v>
      </c>
      <c r="N74" s="7">
        <f t="shared" si="15"/>
        <v>4323.5399832870426</v>
      </c>
      <c r="O74" s="7">
        <f t="shared" si="15"/>
        <v>0</v>
      </c>
      <c r="P74" s="7">
        <f t="shared" si="15"/>
        <v>4496.481582618524</v>
      </c>
      <c r="Q74" s="7">
        <f t="shared" si="15"/>
        <v>0</v>
      </c>
      <c r="R74" s="7">
        <f t="shared" si="3"/>
        <v>24957.350341915415</v>
      </c>
      <c r="S74" s="47">
        <f t="shared" si="2"/>
        <v>1187.8610000000001</v>
      </c>
    </row>
    <row r="75" spans="1:19" s="24" customFormat="1" ht="8.1" customHeight="1">
      <c r="A75" s="74" t="s">
        <v>115</v>
      </c>
      <c r="B75" s="75"/>
      <c r="C75" s="87" t="s">
        <v>116</v>
      </c>
      <c r="D75" s="88"/>
      <c r="E75" s="88"/>
      <c r="F75" s="88"/>
      <c r="G75" s="89"/>
      <c r="H75" s="21" t="s">
        <v>23</v>
      </c>
      <c r="I75" s="22"/>
      <c r="J75" s="8"/>
      <c r="K75" s="8"/>
      <c r="L75" s="8"/>
      <c r="M75" s="8"/>
      <c r="N75" s="8"/>
      <c r="O75" s="8"/>
      <c r="P75" s="8"/>
      <c r="Q75" s="8"/>
      <c r="R75" s="8">
        <f t="shared" si="3"/>
        <v>0</v>
      </c>
      <c r="S75" s="23">
        <f t="shared" si="2"/>
        <v>0</v>
      </c>
    </row>
    <row r="76" spans="1:19" s="24" customFormat="1" ht="8.1" customHeight="1">
      <c r="A76" s="74" t="s">
        <v>117</v>
      </c>
      <c r="B76" s="75"/>
      <c r="C76" s="87" t="s">
        <v>118</v>
      </c>
      <c r="D76" s="88"/>
      <c r="E76" s="88"/>
      <c r="F76" s="88"/>
      <c r="G76" s="89"/>
      <c r="H76" s="21" t="s">
        <v>23</v>
      </c>
      <c r="I76" s="22">
        <f>4218286.87579/1000</f>
        <v>4218.2868757899996</v>
      </c>
      <c r="J76" s="8">
        <f>3880927.91629/1000</f>
        <v>3880.9279162900002</v>
      </c>
      <c r="K76" s="8">
        <v>3880.864</v>
      </c>
      <c r="L76" s="8">
        <v>4157.2499839298489</v>
      </c>
      <c r="M76" s="8">
        <v>1187.8610000000001</v>
      </c>
      <c r="N76" s="8">
        <v>4323.5399832870426</v>
      </c>
      <c r="O76" s="8"/>
      <c r="P76" s="8">
        <v>4496.481582618524</v>
      </c>
      <c r="Q76" s="8"/>
      <c r="R76" s="8">
        <f t="shared" si="3"/>
        <v>24957.350341915415</v>
      </c>
      <c r="S76" s="23">
        <f t="shared" si="2"/>
        <v>1187.8610000000001</v>
      </c>
    </row>
    <row r="77" spans="1:19" s="24" customFormat="1" ht="9" thickBot="1">
      <c r="A77" s="96" t="s">
        <v>119</v>
      </c>
      <c r="B77" s="97"/>
      <c r="C77" s="98" t="s">
        <v>120</v>
      </c>
      <c r="D77" s="99"/>
      <c r="E77" s="99"/>
      <c r="F77" s="99"/>
      <c r="G77" s="100"/>
      <c r="H77" s="51" t="s">
        <v>23</v>
      </c>
      <c r="I77" s="52"/>
      <c r="J77" s="10"/>
      <c r="K77" s="10"/>
      <c r="L77" s="10"/>
      <c r="M77" s="10"/>
      <c r="N77" s="10"/>
      <c r="O77" s="10"/>
      <c r="P77" s="10"/>
      <c r="Q77" s="10"/>
      <c r="R77" s="10">
        <f t="shared" si="3"/>
        <v>0</v>
      </c>
      <c r="S77" s="53">
        <f t="shared" si="2"/>
        <v>0</v>
      </c>
    </row>
    <row r="78" spans="1:19" s="24" customFormat="1" ht="9" customHeight="1">
      <c r="A78" s="76" t="s">
        <v>121</v>
      </c>
      <c r="B78" s="77"/>
      <c r="C78" s="125" t="s">
        <v>122</v>
      </c>
      <c r="D78" s="126"/>
      <c r="E78" s="126"/>
      <c r="F78" s="126"/>
      <c r="G78" s="127"/>
      <c r="H78" s="45" t="s">
        <v>23</v>
      </c>
      <c r="I78" s="46">
        <f t="shared" ref="I78:Q78" si="16">I20-I35</f>
        <v>141.31335328192108</v>
      </c>
      <c r="J78" s="7">
        <f t="shared" si="16"/>
        <v>254.93077527947207</v>
      </c>
      <c r="K78" s="7">
        <f t="shared" si="16"/>
        <v>370.26500000000033</v>
      </c>
      <c r="L78" s="7">
        <f t="shared" si="16"/>
        <v>213.86961867640457</v>
      </c>
      <c r="M78" s="7">
        <f t="shared" si="16"/>
        <v>157.81800000000021</v>
      </c>
      <c r="N78" s="7">
        <f t="shared" si="16"/>
        <v>259.31719331434942</v>
      </c>
      <c r="O78" s="7">
        <f t="shared" si="16"/>
        <v>0</v>
      </c>
      <c r="P78" s="7">
        <f t="shared" si="16"/>
        <v>276.01163889129384</v>
      </c>
      <c r="Q78" s="7">
        <f t="shared" si="16"/>
        <v>0</v>
      </c>
      <c r="R78" s="7">
        <f t="shared" si="3"/>
        <v>1515.7075794434413</v>
      </c>
      <c r="S78" s="47">
        <f t="shared" si="2"/>
        <v>157.81800000000021</v>
      </c>
    </row>
    <row r="79" spans="1:19" s="24" customFormat="1" ht="8.1" customHeight="1">
      <c r="A79" s="74" t="s">
        <v>123</v>
      </c>
      <c r="B79" s="75"/>
      <c r="C79" s="90" t="s">
        <v>25</v>
      </c>
      <c r="D79" s="91"/>
      <c r="E79" s="91"/>
      <c r="F79" s="91"/>
      <c r="G79" s="92"/>
      <c r="H79" s="21" t="s">
        <v>23</v>
      </c>
      <c r="I79" s="22">
        <f t="shared" ref="I79:Q79" si="17">I21-I36</f>
        <v>0</v>
      </c>
      <c r="J79" s="8">
        <f t="shared" si="17"/>
        <v>0</v>
      </c>
      <c r="K79" s="8">
        <f t="shared" si="17"/>
        <v>0</v>
      </c>
      <c r="L79" s="8">
        <f t="shared" si="17"/>
        <v>0</v>
      </c>
      <c r="M79" s="8">
        <f t="shared" si="17"/>
        <v>0</v>
      </c>
      <c r="N79" s="8">
        <f t="shared" si="17"/>
        <v>0</v>
      </c>
      <c r="O79" s="8">
        <f t="shared" si="17"/>
        <v>0</v>
      </c>
      <c r="P79" s="8">
        <f t="shared" si="17"/>
        <v>0</v>
      </c>
      <c r="Q79" s="8">
        <f t="shared" si="17"/>
        <v>0</v>
      </c>
      <c r="R79" s="8">
        <f t="shared" si="3"/>
        <v>0</v>
      </c>
      <c r="S79" s="23">
        <f t="shared" si="2"/>
        <v>0</v>
      </c>
    </row>
    <row r="80" spans="1:19" s="24" customFormat="1" ht="16.5" customHeight="1">
      <c r="A80" s="74" t="s">
        <v>124</v>
      </c>
      <c r="B80" s="75"/>
      <c r="C80" s="87" t="s">
        <v>27</v>
      </c>
      <c r="D80" s="88"/>
      <c r="E80" s="88"/>
      <c r="F80" s="88"/>
      <c r="G80" s="89"/>
      <c r="H80" s="21" t="s">
        <v>23</v>
      </c>
      <c r="I80" s="22">
        <f t="shared" ref="I80:Q80" si="18">I22-I37</f>
        <v>0</v>
      </c>
      <c r="J80" s="8">
        <f t="shared" si="18"/>
        <v>0</v>
      </c>
      <c r="K80" s="8">
        <f t="shared" si="18"/>
        <v>0</v>
      </c>
      <c r="L80" s="8">
        <f t="shared" si="18"/>
        <v>0</v>
      </c>
      <c r="M80" s="8">
        <f t="shared" si="18"/>
        <v>0</v>
      </c>
      <c r="N80" s="8">
        <f t="shared" si="18"/>
        <v>0</v>
      </c>
      <c r="O80" s="8">
        <f t="shared" si="18"/>
        <v>0</v>
      </c>
      <c r="P80" s="8">
        <f t="shared" si="18"/>
        <v>0</v>
      </c>
      <c r="Q80" s="8">
        <f t="shared" si="18"/>
        <v>0</v>
      </c>
      <c r="R80" s="8">
        <f t="shared" si="3"/>
        <v>0</v>
      </c>
      <c r="S80" s="23">
        <f t="shared" si="2"/>
        <v>0</v>
      </c>
    </row>
    <row r="81" spans="1:19" s="24" customFormat="1" ht="16.5" customHeight="1">
      <c r="A81" s="74" t="s">
        <v>125</v>
      </c>
      <c r="B81" s="75"/>
      <c r="C81" s="87" t="s">
        <v>29</v>
      </c>
      <c r="D81" s="88"/>
      <c r="E81" s="88"/>
      <c r="F81" s="88"/>
      <c r="G81" s="89"/>
      <c r="H81" s="21" t="s">
        <v>23</v>
      </c>
      <c r="I81" s="22">
        <f t="shared" ref="I81:Q81" si="19">I23-I38</f>
        <v>0</v>
      </c>
      <c r="J81" s="8">
        <f t="shared" si="19"/>
        <v>0</v>
      </c>
      <c r="K81" s="8">
        <f t="shared" si="19"/>
        <v>0</v>
      </c>
      <c r="L81" s="8">
        <f t="shared" si="19"/>
        <v>0</v>
      </c>
      <c r="M81" s="8">
        <f t="shared" si="19"/>
        <v>0</v>
      </c>
      <c r="N81" s="8">
        <f t="shared" si="19"/>
        <v>0</v>
      </c>
      <c r="O81" s="8">
        <f t="shared" si="19"/>
        <v>0</v>
      </c>
      <c r="P81" s="8">
        <f t="shared" si="19"/>
        <v>0</v>
      </c>
      <c r="Q81" s="8">
        <f t="shared" si="19"/>
        <v>0</v>
      </c>
      <c r="R81" s="8">
        <f t="shared" si="3"/>
        <v>0</v>
      </c>
      <c r="S81" s="23">
        <f t="shared" si="2"/>
        <v>0</v>
      </c>
    </row>
    <row r="82" spans="1:19" s="24" customFormat="1" ht="16.5" customHeight="1">
      <c r="A82" s="74" t="s">
        <v>126</v>
      </c>
      <c r="B82" s="75"/>
      <c r="C82" s="87" t="s">
        <v>31</v>
      </c>
      <c r="D82" s="88"/>
      <c r="E82" s="88"/>
      <c r="F82" s="88"/>
      <c r="G82" s="89"/>
      <c r="H82" s="21" t="s">
        <v>23</v>
      </c>
      <c r="I82" s="22">
        <f t="shared" ref="I82:Q82" si="20">I24-I39</f>
        <v>0</v>
      </c>
      <c r="J82" s="8">
        <f t="shared" si="20"/>
        <v>0</v>
      </c>
      <c r="K82" s="8">
        <f t="shared" si="20"/>
        <v>0</v>
      </c>
      <c r="L82" s="8">
        <f t="shared" si="20"/>
        <v>0</v>
      </c>
      <c r="M82" s="8">
        <f t="shared" si="20"/>
        <v>0</v>
      </c>
      <c r="N82" s="8">
        <f t="shared" si="20"/>
        <v>0</v>
      </c>
      <c r="O82" s="8">
        <f t="shared" si="20"/>
        <v>0</v>
      </c>
      <c r="P82" s="8">
        <f t="shared" si="20"/>
        <v>0</v>
      </c>
      <c r="Q82" s="8">
        <f t="shared" si="20"/>
        <v>0</v>
      </c>
      <c r="R82" s="8">
        <f t="shared" si="3"/>
        <v>0</v>
      </c>
      <c r="S82" s="23">
        <f t="shared" si="2"/>
        <v>0</v>
      </c>
    </row>
    <row r="83" spans="1:19" s="24" customFormat="1" ht="8.1" customHeight="1">
      <c r="A83" s="74" t="s">
        <v>127</v>
      </c>
      <c r="B83" s="75"/>
      <c r="C83" s="90" t="s">
        <v>33</v>
      </c>
      <c r="D83" s="91"/>
      <c r="E83" s="91"/>
      <c r="F83" s="91"/>
      <c r="G83" s="92"/>
      <c r="H83" s="21" t="s">
        <v>23</v>
      </c>
      <c r="I83" s="22">
        <f t="shared" ref="I83:Q83" si="21">I25-I40</f>
        <v>0</v>
      </c>
      <c r="J83" s="8">
        <f t="shared" si="21"/>
        <v>0</v>
      </c>
      <c r="K83" s="8">
        <f t="shared" si="21"/>
        <v>0</v>
      </c>
      <c r="L83" s="8">
        <f t="shared" si="21"/>
        <v>0</v>
      </c>
      <c r="M83" s="8">
        <f t="shared" si="21"/>
        <v>0</v>
      </c>
      <c r="N83" s="8">
        <f t="shared" si="21"/>
        <v>0</v>
      </c>
      <c r="O83" s="8">
        <f t="shared" si="21"/>
        <v>0</v>
      </c>
      <c r="P83" s="8">
        <f t="shared" si="21"/>
        <v>0</v>
      </c>
      <c r="Q83" s="8">
        <f t="shared" si="21"/>
        <v>0</v>
      </c>
      <c r="R83" s="8">
        <f t="shared" si="3"/>
        <v>0</v>
      </c>
      <c r="S83" s="23">
        <f t="shared" si="2"/>
        <v>0</v>
      </c>
    </row>
    <row r="84" spans="1:19" s="24" customFormat="1" ht="8.1" customHeight="1">
      <c r="A84" s="74" t="s">
        <v>128</v>
      </c>
      <c r="B84" s="75"/>
      <c r="C84" s="90" t="s">
        <v>35</v>
      </c>
      <c r="D84" s="91"/>
      <c r="E84" s="91"/>
      <c r="F84" s="91"/>
      <c r="G84" s="92"/>
      <c r="H84" s="21" t="s">
        <v>23</v>
      </c>
      <c r="I84" s="22">
        <f t="shared" ref="I84:Q84" si="22">I26-I41</f>
        <v>0</v>
      </c>
      <c r="J84" s="8">
        <f t="shared" si="22"/>
        <v>0</v>
      </c>
      <c r="K84" s="8">
        <f t="shared" si="22"/>
        <v>0</v>
      </c>
      <c r="L84" s="8">
        <f t="shared" si="22"/>
        <v>0</v>
      </c>
      <c r="M84" s="8">
        <f t="shared" si="22"/>
        <v>0</v>
      </c>
      <c r="N84" s="8">
        <f t="shared" si="22"/>
        <v>0</v>
      </c>
      <c r="O84" s="8">
        <f t="shared" si="22"/>
        <v>0</v>
      </c>
      <c r="P84" s="8">
        <f t="shared" si="22"/>
        <v>0</v>
      </c>
      <c r="Q84" s="8">
        <f t="shared" si="22"/>
        <v>0</v>
      </c>
      <c r="R84" s="8">
        <f t="shared" si="3"/>
        <v>0</v>
      </c>
      <c r="S84" s="23">
        <f t="shared" si="2"/>
        <v>0</v>
      </c>
    </row>
    <row r="85" spans="1:19" s="24" customFormat="1" ht="8.1" customHeight="1">
      <c r="A85" s="74" t="s">
        <v>129</v>
      </c>
      <c r="B85" s="75"/>
      <c r="C85" s="90" t="s">
        <v>37</v>
      </c>
      <c r="D85" s="91"/>
      <c r="E85" s="91"/>
      <c r="F85" s="91"/>
      <c r="G85" s="92"/>
      <c r="H85" s="21" t="s">
        <v>23</v>
      </c>
      <c r="I85" s="22">
        <f t="shared" ref="I85:Q85" si="23">I27-I42</f>
        <v>0</v>
      </c>
      <c r="J85" s="8">
        <f t="shared" si="23"/>
        <v>0</v>
      </c>
      <c r="K85" s="8">
        <f t="shared" si="23"/>
        <v>0</v>
      </c>
      <c r="L85" s="8">
        <f t="shared" si="23"/>
        <v>0</v>
      </c>
      <c r="M85" s="8">
        <f t="shared" si="23"/>
        <v>0</v>
      </c>
      <c r="N85" s="8">
        <f t="shared" si="23"/>
        <v>0</v>
      </c>
      <c r="O85" s="8">
        <f t="shared" si="23"/>
        <v>0</v>
      </c>
      <c r="P85" s="8">
        <f t="shared" si="23"/>
        <v>0</v>
      </c>
      <c r="Q85" s="8">
        <f t="shared" si="23"/>
        <v>0</v>
      </c>
      <c r="R85" s="8">
        <f t="shared" si="3"/>
        <v>0</v>
      </c>
      <c r="S85" s="23">
        <f t="shared" ref="S85:S148" si="24">M85+O85+Q85</f>
        <v>0</v>
      </c>
    </row>
    <row r="86" spans="1:19" s="24" customFormat="1" ht="8.1" customHeight="1">
      <c r="A86" s="74" t="s">
        <v>130</v>
      </c>
      <c r="B86" s="75"/>
      <c r="C86" s="90" t="s">
        <v>39</v>
      </c>
      <c r="D86" s="91"/>
      <c r="E86" s="91"/>
      <c r="F86" s="91"/>
      <c r="G86" s="92"/>
      <c r="H86" s="21" t="s">
        <v>23</v>
      </c>
      <c r="I86" s="22">
        <f t="shared" ref="I86:Q86" si="25">I28-I43</f>
        <v>0</v>
      </c>
      <c r="J86" s="8">
        <f t="shared" si="25"/>
        <v>0</v>
      </c>
      <c r="K86" s="8">
        <f t="shared" si="25"/>
        <v>0</v>
      </c>
      <c r="L86" s="8">
        <f t="shared" si="25"/>
        <v>0</v>
      </c>
      <c r="M86" s="8">
        <f t="shared" si="25"/>
        <v>0</v>
      </c>
      <c r="N86" s="8">
        <f t="shared" si="25"/>
        <v>0</v>
      </c>
      <c r="O86" s="8">
        <f t="shared" si="25"/>
        <v>0</v>
      </c>
      <c r="P86" s="8">
        <f t="shared" si="25"/>
        <v>0</v>
      </c>
      <c r="Q86" s="8">
        <f t="shared" si="25"/>
        <v>0</v>
      </c>
      <c r="R86" s="8">
        <f t="shared" si="3"/>
        <v>0</v>
      </c>
      <c r="S86" s="23">
        <f t="shared" si="24"/>
        <v>0</v>
      </c>
    </row>
    <row r="87" spans="1:19" s="24" customFormat="1" ht="8.1" customHeight="1">
      <c r="A87" s="74" t="s">
        <v>131</v>
      </c>
      <c r="B87" s="75"/>
      <c r="C87" s="90" t="s">
        <v>41</v>
      </c>
      <c r="D87" s="91"/>
      <c r="E87" s="91"/>
      <c r="F87" s="91"/>
      <c r="G87" s="92"/>
      <c r="H87" s="21" t="s">
        <v>23</v>
      </c>
      <c r="I87" s="22">
        <f t="shared" ref="I87:Q87" si="26">I29-I44</f>
        <v>136.71335328192254</v>
      </c>
      <c r="J87" s="8">
        <f t="shared" si="26"/>
        <v>248.42074381947168</v>
      </c>
      <c r="K87" s="8">
        <f t="shared" si="26"/>
        <v>372.96600000000035</v>
      </c>
      <c r="L87" s="8">
        <f t="shared" si="26"/>
        <v>195.69145867640418</v>
      </c>
      <c r="M87" s="8">
        <f t="shared" si="26"/>
        <v>158.77100000000064</v>
      </c>
      <c r="N87" s="8">
        <f t="shared" si="26"/>
        <v>240.41190691434986</v>
      </c>
      <c r="O87" s="8">
        <f t="shared" si="26"/>
        <v>0</v>
      </c>
      <c r="P87" s="8">
        <f t="shared" si="26"/>
        <v>256.35014103529375</v>
      </c>
      <c r="Q87" s="8">
        <f t="shared" si="26"/>
        <v>0</v>
      </c>
      <c r="R87" s="8">
        <f t="shared" si="3"/>
        <v>1450.5536037274424</v>
      </c>
      <c r="S87" s="23">
        <f t="shared" si="24"/>
        <v>158.77100000000064</v>
      </c>
    </row>
    <row r="88" spans="1:19" s="24" customFormat="1" ht="8.1" customHeight="1">
      <c r="A88" s="74" t="s">
        <v>132</v>
      </c>
      <c r="B88" s="75"/>
      <c r="C88" s="90" t="s">
        <v>43</v>
      </c>
      <c r="D88" s="91"/>
      <c r="E88" s="91"/>
      <c r="F88" s="91"/>
      <c r="G88" s="92"/>
      <c r="H88" s="21" t="s">
        <v>23</v>
      </c>
      <c r="I88" s="22">
        <f t="shared" ref="I88:Q88" si="27">I30-I45</f>
        <v>0</v>
      </c>
      <c r="J88" s="8">
        <f t="shared" si="27"/>
        <v>0</v>
      </c>
      <c r="K88" s="8">
        <f t="shared" si="27"/>
        <v>0</v>
      </c>
      <c r="L88" s="8">
        <f t="shared" si="27"/>
        <v>0</v>
      </c>
      <c r="M88" s="8">
        <f t="shared" si="27"/>
        <v>0</v>
      </c>
      <c r="N88" s="8">
        <f t="shared" si="27"/>
        <v>0</v>
      </c>
      <c r="O88" s="8">
        <f t="shared" si="27"/>
        <v>0</v>
      </c>
      <c r="P88" s="8">
        <f t="shared" si="27"/>
        <v>0</v>
      </c>
      <c r="Q88" s="8">
        <f t="shared" si="27"/>
        <v>0</v>
      </c>
      <c r="R88" s="8">
        <f t="shared" si="3"/>
        <v>0</v>
      </c>
      <c r="S88" s="23">
        <f t="shared" si="24"/>
        <v>0</v>
      </c>
    </row>
    <row r="89" spans="1:19" s="24" customFormat="1" ht="16.5" customHeight="1">
      <c r="A89" s="74" t="s">
        <v>133</v>
      </c>
      <c r="B89" s="75"/>
      <c r="C89" s="90" t="s">
        <v>45</v>
      </c>
      <c r="D89" s="91"/>
      <c r="E89" s="91"/>
      <c r="F89" s="91"/>
      <c r="G89" s="92"/>
      <c r="H89" s="21" t="s">
        <v>23</v>
      </c>
      <c r="I89" s="22">
        <f t="shared" ref="I89:Q89" si="28">I31-I46</f>
        <v>0</v>
      </c>
      <c r="J89" s="8">
        <f t="shared" si="28"/>
        <v>0</v>
      </c>
      <c r="K89" s="8">
        <f t="shared" si="28"/>
        <v>0</v>
      </c>
      <c r="L89" s="8">
        <f t="shared" si="28"/>
        <v>0</v>
      </c>
      <c r="M89" s="8">
        <f t="shared" si="28"/>
        <v>0</v>
      </c>
      <c r="N89" s="8">
        <f t="shared" si="28"/>
        <v>0</v>
      </c>
      <c r="O89" s="8">
        <f t="shared" si="28"/>
        <v>0</v>
      </c>
      <c r="P89" s="8">
        <f t="shared" si="28"/>
        <v>0</v>
      </c>
      <c r="Q89" s="8">
        <f t="shared" si="28"/>
        <v>0</v>
      </c>
      <c r="R89" s="8">
        <f t="shared" si="3"/>
        <v>0</v>
      </c>
      <c r="S89" s="23">
        <f t="shared" si="24"/>
        <v>0</v>
      </c>
    </row>
    <row r="90" spans="1:19" s="24" customFormat="1" ht="8.1" customHeight="1">
      <c r="A90" s="74" t="s">
        <v>134</v>
      </c>
      <c r="B90" s="75"/>
      <c r="C90" s="87" t="s">
        <v>47</v>
      </c>
      <c r="D90" s="88"/>
      <c r="E90" s="88"/>
      <c r="F90" s="88"/>
      <c r="G90" s="89"/>
      <c r="H90" s="21" t="s">
        <v>23</v>
      </c>
      <c r="I90" s="22">
        <f t="shared" ref="I90:Q90" si="29">I32-I47</f>
        <v>0</v>
      </c>
      <c r="J90" s="8">
        <f t="shared" si="29"/>
        <v>0</v>
      </c>
      <c r="K90" s="8">
        <f t="shared" si="29"/>
        <v>0</v>
      </c>
      <c r="L90" s="8">
        <f t="shared" si="29"/>
        <v>0</v>
      </c>
      <c r="M90" s="8">
        <f t="shared" si="29"/>
        <v>0</v>
      </c>
      <c r="N90" s="8">
        <f t="shared" si="29"/>
        <v>0</v>
      </c>
      <c r="O90" s="8">
        <f t="shared" si="29"/>
        <v>0</v>
      </c>
      <c r="P90" s="8">
        <f t="shared" si="29"/>
        <v>0</v>
      </c>
      <c r="Q90" s="8">
        <f t="shared" si="29"/>
        <v>0</v>
      </c>
      <c r="R90" s="8">
        <f t="shared" si="3"/>
        <v>0</v>
      </c>
      <c r="S90" s="23">
        <f t="shared" si="24"/>
        <v>0</v>
      </c>
    </row>
    <row r="91" spans="1:19" s="24" customFormat="1" ht="8.1" customHeight="1">
      <c r="A91" s="74" t="s">
        <v>135</v>
      </c>
      <c r="B91" s="75"/>
      <c r="C91" s="87" t="s">
        <v>49</v>
      </c>
      <c r="D91" s="88"/>
      <c r="E91" s="88"/>
      <c r="F91" s="88"/>
      <c r="G91" s="89"/>
      <c r="H91" s="21" t="s">
        <v>23</v>
      </c>
      <c r="I91" s="22">
        <f t="shared" ref="I91:Q91" si="30">I33-I48</f>
        <v>0</v>
      </c>
      <c r="J91" s="8">
        <f t="shared" si="30"/>
        <v>0</v>
      </c>
      <c r="K91" s="8">
        <f t="shared" si="30"/>
        <v>0</v>
      </c>
      <c r="L91" s="8">
        <f t="shared" si="30"/>
        <v>0</v>
      </c>
      <c r="M91" s="8">
        <f t="shared" si="30"/>
        <v>0</v>
      </c>
      <c r="N91" s="8">
        <f t="shared" si="30"/>
        <v>0</v>
      </c>
      <c r="O91" s="8">
        <f t="shared" si="30"/>
        <v>0</v>
      </c>
      <c r="P91" s="8">
        <f t="shared" si="30"/>
        <v>0</v>
      </c>
      <c r="Q91" s="8">
        <f t="shared" si="30"/>
        <v>0</v>
      </c>
      <c r="R91" s="8">
        <f t="shared" si="3"/>
        <v>0</v>
      </c>
      <c r="S91" s="23">
        <f t="shared" si="24"/>
        <v>0</v>
      </c>
    </row>
    <row r="92" spans="1:19" s="24" customFormat="1" ht="8.1" customHeight="1">
      <c r="A92" s="74" t="s">
        <v>136</v>
      </c>
      <c r="B92" s="75"/>
      <c r="C92" s="90" t="s">
        <v>51</v>
      </c>
      <c r="D92" s="91"/>
      <c r="E92" s="91"/>
      <c r="F92" s="91"/>
      <c r="G92" s="92"/>
      <c r="H92" s="21" t="s">
        <v>23</v>
      </c>
      <c r="I92" s="22">
        <f t="shared" ref="I92:Q92" si="31">I34-I49</f>
        <v>4.6000000000000014</v>
      </c>
      <c r="J92" s="8">
        <f>J34-J49</f>
        <v>6.5100314600000004</v>
      </c>
      <c r="K92" s="8">
        <f t="shared" si="31"/>
        <v>-2.7010000000000005</v>
      </c>
      <c r="L92" s="8">
        <f t="shared" si="31"/>
        <v>18.178160000000005</v>
      </c>
      <c r="M92" s="8">
        <f t="shared" si="31"/>
        <v>-0.9529999999999994</v>
      </c>
      <c r="N92" s="8">
        <f t="shared" si="31"/>
        <v>18.905286400000008</v>
      </c>
      <c r="O92" s="8">
        <f t="shared" si="31"/>
        <v>0</v>
      </c>
      <c r="P92" s="8">
        <f t="shared" si="31"/>
        <v>19.661497856000011</v>
      </c>
      <c r="Q92" s="8">
        <f t="shared" si="31"/>
        <v>0</v>
      </c>
      <c r="R92" s="8">
        <f t="shared" si="3"/>
        <v>65.153975716000019</v>
      </c>
      <c r="S92" s="23">
        <f t="shared" si="24"/>
        <v>-0.9529999999999994</v>
      </c>
    </row>
    <row r="93" spans="1:19" s="24" customFormat="1" ht="8.25">
      <c r="A93" s="74" t="s">
        <v>137</v>
      </c>
      <c r="B93" s="75"/>
      <c r="C93" s="93" t="s">
        <v>138</v>
      </c>
      <c r="D93" s="94"/>
      <c r="E93" s="94"/>
      <c r="F93" s="94"/>
      <c r="G93" s="95"/>
      <c r="H93" s="21" t="s">
        <v>23</v>
      </c>
      <c r="I93" s="22">
        <f t="shared" ref="I93:Q93" si="32">I94-I100</f>
        <v>-271.18299999999988</v>
      </c>
      <c r="J93" s="8">
        <f t="shared" si="32"/>
        <v>-545.02299999999991</v>
      </c>
      <c r="K93" s="8">
        <f t="shared" si="32"/>
        <v>-369.83199999999999</v>
      </c>
      <c r="L93" s="8">
        <f t="shared" si="32"/>
        <v>-171.32960000000003</v>
      </c>
      <c r="M93" s="8">
        <f t="shared" si="32"/>
        <v>-254.59000000000003</v>
      </c>
      <c r="N93" s="8">
        <f t="shared" si="32"/>
        <v>-178.18278400000003</v>
      </c>
      <c r="O93" s="8">
        <f t="shared" si="32"/>
        <v>0</v>
      </c>
      <c r="P93" s="8">
        <f t="shared" si="32"/>
        <v>-185.31009536000005</v>
      </c>
      <c r="Q93" s="8">
        <f t="shared" si="32"/>
        <v>0</v>
      </c>
      <c r="R93" s="8">
        <f t="shared" si="3"/>
        <v>-1720.86047936</v>
      </c>
      <c r="S93" s="23">
        <f t="shared" si="24"/>
        <v>-254.59000000000003</v>
      </c>
    </row>
    <row r="94" spans="1:19" s="24" customFormat="1" ht="8.1" customHeight="1">
      <c r="A94" s="74" t="s">
        <v>139</v>
      </c>
      <c r="B94" s="75"/>
      <c r="C94" s="90" t="s">
        <v>140</v>
      </c>
      <c r="D94" s="91"/>
      <c r="E94" s="91"/>
      <c r="F94" s="91"/>
      <c r="G94" s="92"/>
      <c r="H94" s="21" t="s">
        <v>23</v>
      </c>
      <c r="I94" s="22">
        <f t="shared" ref="I94:Q94" si="33">I95+I96+I97+I99</f>
        <v>420.30000000000007</v>
      </c>
      <c r="J94" s="8">
        <f t="shared" si="33"/>
        <v>395.6</v>
      </c>
      <c r="K94" s="8">
        <f t="shared" si="33"/>
        <v>256.024</v>
      </c>
      <c r="L94" s="8">
        <f t="shared" si="33"/>
        <v>110.88999999999997</v>
      </c>
      <c r="M94" s="8">
        <f t="shared" si="33"/>
        <v>280.399</v>
      </c>
      <c r="N94" s="8">
        <f t="shared" si="33"/>
        <v>115.32559999999995</v>
      </c>
      <c r="O94" s="8">
        <f t="shared" si="33"/>
        <v>0</v>
      </c>
      <c r="P94" s="8">
        <f t="shared" si="33"/>
        <v>119.93862399999996</v>
      </c>
      <c r="Q94" s="8">
        <f t="shared" si="33"/>
        <v>0</v>
      </c>
      <c r="R94" s="8">
        <f t="shared" si="3"/>
        <v>1418.0782239999996</v>
      </c>
      <c r="S94" s="23">
        <f t="shared" si="24"/>
        <v>280.399</v>
      </c>
    </row>
    <row r="95" spans="1:19" s="24" customFormat="1" ht="8.1" customHeight="1">
      <c r="A95" s="74" t="s">
        <v>141</v>
      </c>
      <c r="B95" s="75"/>
      <c r="C95" s="87" t="s">
        <v>142</v>
      </c>
      <c r="D95" s="88"/>
      <c r="E95" s="88"/>
      <c r="F95" s="88"/>
      <c r="G95" s="89"/>
      <c r="H95" s="21" t="s">
        <v>23</v>
      </c>
      <c r="I95" s="22"/>
      <c r="J95" s="8"/>
      <c r="K95" s="8"/>
      <c r="L95" s="8"/>
      <c r="M95" s="8"/>
      <c r="N95" s="8"/>
      <c r="O95" s="8"/>
      <c r="P95" s="8"/>
      <c r="Q95" s="8"/>
      <c r="R95" s="8">
        <f t="shared" si="3"/>
        <v>0</v>
      </c>
      <c r="S95" s="23">
        <f t="shared" si="24"/>
        <v>0</v>
      </c>
    </row>
    <row r="96" spans="1:19" s="24" customFormat="1" ht="8.1" customHeight="1">
      <c r="A96" s="74" t="s">
        <v>143</v>
      </c>
      <c r="B96" s="75"/>
      <c r="C96" s="87" t="s">
        <v>144</v>
      </c>
      <c r="D96" s="88"/>
      <c r="E96" s="88"/>
      <c r="F96" s="88"/>
      <c r="G96" s="89"/>
      <c r="H96" s="21" t="s">
        <v>23</v>
      </c>
      <c r="I96" s="22">
        <f>6207.38693/1000</f>
        <v>6.2073869299999993</v>
      </c>
      <c r="J96" s="8">
        <f>4326/1000</f>
        <v>4.3259999999999996</v>
      </c>
      <c r="K96" s="8">
        <v>1.3440000000000001</v>
      </c>
      <c r="L96" s="8">
        <v>6.24</v>
      </c>
      <c r="M96" s="8">
        <v>0.85599999999999998</v>
      </c>
      <c r="N96" s="8">
        <v>6.4896000000000003</v>
      </c>
      <c r="O96" s="8"/>
      <c r="P96" s="8">
        <v>6.7491840000000005</v>
      </c>
      <c r="Q96" s="8"/>
      <c r="R96" s="8">
        <f t="shared" si="3"/>
        <v>31.356170929999998</v>
      </c>
      <c r="S96" s="23">
        <f t="shared" si="24"/>
        <v>0.85599999999999998</v>
      </c>
    </row>
    <row r="97" spans="1:19" s="24" customFormat="1" ht="8.1" customHeight="1">
      <c r="A97" s="74" t="s">
        <v>145</v>
      </c>
      <c r="B97" s="75"/>
      <c r="C97" s="87" t="s">
        <v>146</v>
      </c>
      <c r="D97" s="88"/>
      <c r="E97" s="88"/>
      <c r="F97" s="88"/>
      <c r="G97" s="89"/>
      <c r="H97" s="21" t="s">
        <v>23</v>
      </c>
      <c r="I97" s="22">
        <f>106359.67558/1000</f>
        <v>106.35967558</v>
      </c>
      <c r="J97" s="8">
        <f>6176/1000</f>
        <v>6.1760000000000002</v>
      </c>
      <c r="K97" s="8">
        <v>7.6440000000000001</v>
      </c>
      <c r="L97" s="8">
        <v>0</v>
      </c>
      <c r="M97" s="8">
        <v>14.563000000000001</v>
      </c>
      <c r="N97" s="8"/>
      <c r="O97" s="8"/>
      <c r="P97" s="8"/>
      <c r="Q97" s="8"/>
      <c r="R97" s="8">
        <f t="shared" si="3"/>
        <v>120.17967558000001</v>
      </c>
      <c r="S97" s="23">
        <f t="shared" si="24"/>
        <v>14.563000000000001</v>
      </c>
    </row>
    <row r="98" spans="1:19" s="24" customFormat="1" ht="8.1" customHeight="1">
      <c r="A98" s="74" t="s">
        <v>147</v>
      </c>
      <c r="B98" s="75"/>
      <c r="C98" s="78" t="s">
        <v>148</v>
      </c>
      <c r="D98" s="79"/>
      <c r="E98" s="79"/>
      <c r="F98" s="79"/>
      <c r="G98" s="80"/>
      <c r="H98" s="21" t="s">
        <v>23</v>
      </c>
      <c r="I98" s="22">
        <f>83.308</f>
        <v>83.308000000000007</v>
      </c>
      <c r="J98" s="8">
        <f>1783/1000</f>
        <v>1.7829999999999999</v>
      </c>
      <c r="K98" s="8">
        <v>7.6440000000000001</v>
      </c>
      <c r="L98" s="8">
        <v>0</v>
      </c>
      <c r="M98" s="8">
        <v>14.563000000000001</v>
      </c>
      <c r="N98" s="8"/>
      <c r="O98" s="8"/>
      <c r="P98" s="8"/>
      <c r="Q98" s="8"/>
      <c r="R98" s="8">
        <f t="shared" si="3"/>
        <v>92.735000000000014</v>
      </c>
      <c r="S98" s="23">
        <f t="shared" si="24"/>
        <v>14.563000000000001</v>
      </c>
    </row>
    <row r="99" spans="1:19" s="24" customFormat="1" ht="8.1" customHeight="1">
      <c r="A99" s="74" t="s">
        <v>149</v>
      </c>
      <c r="B99" s="75"/>
      <c r="C99" s="87" t="s">
        <v>150</v>
      </c>
      <c r="D99" s="88"/>
      <c r="E99" s="88"/>
      <c r="F99" s="88"/>
      <c r="G99" s="89"/>
      <c r="H99" s="21" t="s">
        <v>23</v>
      </c>
      <c r="I99" s="22">
        <f>420.3-I96-I97</f>
        <v>307.73293749000004</v>
      </c>
      <c r="J99" s="8">
        <f>395600/1000-J96-J97</f>
        <v>385.09800000000001</v>
      </c>
      <c r="K99" s="8">
        <f>254.68-7.644</f>
        <v>247.036</v>
      </c>
      <c r="L99" s="8">
        <v>104.64999999999998</v>
      </c>
      <c r="M99" s="8">
        <f>279.543-14.563</f>
        <v>264.98</v>
      </c>
      <c r="N99" s="8">
        <v>108.83599999999996</v>
      </c>
      <c r="O99" s="8"/>
      <c r="P99" s="8">
        <v>113.18943999999996</v>
      </c>
      <c r="Q99" s="8"/>
      <c r="R99" s="8">
        <f t="shared" si="3"/>
        <v>1266.54237749</v>
      </c>
      <c r="S99" s="23">
        <f t="shared" si="24"/>
        <v>264.98</v>
      </c>
    </row>
    <row r="100" spans="1:19" s="24" customFormat="1" ht="8.1" customHeight="1">
      <c r="A100" s="74" t="s">
        <v>151</v>
      </c>
      <c r="B100" s="75"/>
      <c r="C100" s="90" t="s">
        <v>106</v>
      </c>
      <c r="D100" s="91"/>
      <c r="E100" s="91"/>
      <c r="F100" s="91"/>
      <c r="G100" s="92"/>
      <c r="H100" s="21" t="s">
        <v>23</v>
      </c>
      <c r="I100" s="22">
        <f t="shared" ref="I100:Q100" si="34">I101+I102+I103+I105</f>
        <v>691.48299999999995</v>
      </c>
      <c r="J100" s="8">
        <f t="shared" si="34"/>
        <v>940.62299999999993</v>
      </c>
      <c r="K100" s="8">
        <f t="shared" si="34"/>
        <v>625.85599999999999</v>
      </c>
      <c r="L100" s="8">
        <f t="shared" si="34"/>
        <v>282.21960000000001</v>
      </c>
      <c r="M100" s="8">
        <f t="shared" si="34"/>
        <v>534.98900000000003</v>
      </c>
      <c r="N100" s="8">
        <f t="shared" si="34"/>
        <v>293.50838399999998</v>
      </c>
      <c r="O100" s="8">
        <f t="shared" si="34"/>
        <v>0</v>
      </c>
      <c r="P100" s="8">
        <f t="shared" si="34"/>
        <v>305.24871936</v>
      </c>
      <c r="Q100" s="8">
        <f t="shared" si="34"/>
        <v>0</v>
      </c>
      <c r="R100" s="8">
        <f t="shared" si="3"/>
        <v>3138.9387033599996</v>
      </c>
      <c r="S100" s="23">
        <f t="shared" si="24"/>
        <v>534.98900000000003</v>
      </c>
    </row>
    <row r="101" spans="1:19" s="24" customFormat="1" ht="8.1" customHeight="1">
      <c r="A101" s="74" t="s">
        <v>152</v>
      </c>
      <c r="B101" s="75"/>
      <c r="C101" s="87" t="s">
        <v>153</v>
      </c>
      <c r="D101" s="88"/>
      <c r="E101" s="88"/>
      <c r="F101" s="88"/>
      <c r="G101" s="89"/>
      <c r="H101" s="21" t="s">
        <v>23</v>
      </c>
      <c r="I101" s="22">
        <f>7.332</f>
        <v>7.3319999999999999</v>
      </c>
      <c r="J101" s="8">
        <f>9.238</f>
        <v>9.2379999999999995</v>
      </c>
      <c r="K101" s="8">
        <v>7.0919999999999996</v>
      </c>
      <c r="L101" s="8">
        <v>9.9829600000000003</v>
      </c>
      <c r="M101" s="8">
        <v>0.79800000000000004</v>
      </c>
      <c r="N101" s="8">
        <v>10.382278400000001</v>
      </c>
      <c r="O101" s="8"/>
      <c r="P101" s="8">
        <v>10.797569536000001</v>
      </c>
      <c r="Q101" s="8"/>
      <c r="R101" s="8">
        <f t="shared" si="3"/>
        <v>54.824807935999999</v>
      </c>
      <c r="S101" s="23">
        <f t="shared" si="24"/>
        <v>0.79800000000000004</v>
      </c>
    </row>
    <row r="102" spans="1:19" s="24" customFormat="1" ht="8.1" customHeight="1">
      <c r="A102" s="74" t="s">
        <v>154</v>
      </c>
      <c r="B102" s="75"/>
      <c r="C102" s="87" t="s">
        <v>155</v>
      </c>
      <c r="D102" s="88"/>
      <c r="E102" s="88"/>
      <c r="F102" s="88"/>
      <c r="G102" s="89"/>
      <c r="H102" s="21" t="s">
        <v>23</v>
      </c>
      <c r="I102" s="22">
        <f>25892.89892/1000</f>
        <v>25.89289892</v>
      </c>
      <c r="J102" s="8">
        <f>94021.94896/1000</f>
        <v>94.021948959999989</v>
      </c>
      <c r="K102" s="8">
        <v>66.216999999999999</v>
      </c>
      <c r="L102" s="8">
        <v>169.53352000000001</v>
      </c>
      <c r="M102" s="8">
        <v>13.407999999999999</v>
      </c>
      <c r="N102" s="8">
        <v>176.31486080000002</v>
      </c>
      <c r="O102" s="8"/>
      <c r="P102" s="8">
        <v>183.36745523200003</v>
      </c>
      <c r="Q102" s="8"/>
      <c r="R102" s="8">
        <f t="shared" si="3"/>
        <v>715.34768391199998</v>
      </c>
      <c r="S102" s="23">
        <f t="shared" si="24"/>
        <v>13.407999999999999</v>
      </c>
    </row>
    <row r="103" spans="1:19" s="24" customFormat="1" ht="8.1" customHeight="1">
      <c r="A103" s="74" t="s">
        <v>156</v>
      </c>
      <c r="B103" s="75"/>
      <c r="C103" s="87" t="s">
        <v>157</v>
      </c>
      <c r="D103" s="88"/>
      <c r="E103" s="88"/>
      <c r="F103" s="88"/>
      <c r="G103" s="89"/>
      <c r="H103" s="21" t="s">
        <v>23</v>
      </c>
      <c r="I103" s="22">
        <f>161203.77449/1000</f>
        <v>161.20377449</v>
      </c>
      <c r="J103" s="8">
        <f>57377.28323/1000</f>
        <v>57.377283230000003</v>
      </c>
      <c r="K103" s="8">
        <v>0</v>
      </c>
      <c r="L103" s="8">
        <v>0</v>
      </c>
      <c r="M103" s="8"/>
      <c r="N103" s="8"/>
      <c r="O103" s="8"/>
      <c r="P103" s="8"/>
      <c r="Q103" s="8"/>
      <c r="R103" s="8">
        <f t="shared" si="3"/>
        <v>218.58105771999999</v>
      </c>
      <c r="S103" s="23">
        <f t="shared" si="24"/>
        <v>0</v>
      </c>
    </row>
    <row r="104" spans="1:19" s="24" customFormat="1" ht="8.1" customHeight="1">
      <c r="A104" s="74" t="s">
        <v>158</v>
      </c>
      <c r="B104" s="75"/>
      <c r="C104" s="78" t="s">
        <v>148</v>
      </c>
      <c r="D104" s="79"/>
      <c r="E104" s="79"/>
      <c r="F104" s="79"/>
      <c r="G104" s="80"/>
      <c r="H104" s="21" t="s">
        <v>23</v>
      </c>
      <c r="I104" s="22">
        <f>93.006</f>
        <v>93.006</v>
      </c>
      <c r="J104" s="8">
        <f>57377.28323/1000</f>
        <v>57.377283230000003</v>
      </c>
      <c r="K104" s="8">
        <v>0</v>
      </c>
      <c r="L104" s="8">
        <v>0</v>
      </c>
      <c r="M104" s="8"/>
      <c r="N104" s="8"/>
      <c r="O104" s="8"/>
      <c r="P104" s="8"/>
      <c r="Q104" s="8"/>
      <c r="R104" s="8">
        <f t="shared" si="3"/>
        <v>150.38328323000002</v>
      </c>
      <c r="S104" s="23">
        <f t="shared" si="24"/>
        <v>0</v>
      </c>
    </row>
    <row r="105" spans="1:19" s="24" customFormat="1" ht="8.1" customHeight="1">
      <c r="A105" s="74" t="s">
        <v>159</v>
      </c>
      <c r="B105" s="75"/>
      <c r="C105" s="87" t="s">
        <v>160</v>
      </c>
      <c r="D105" s="88"/>
      <c r="E105" s="88"/>
      <c r="F105" s="88"/>
      <c r="G105" s="89"/>
      <c r="H105" s="21" t="s">
        <v>23</v>
      </c>
      <c r="I105" s="22">
        <f>691.483-I101-I102-I103</f>
        <v>497.05432658999996</v>
      </c>
      <c r="J105" s="8">
        <f>940.623-J101-J102-J103</f>
        <v>779.98576780999997</v>
      </c>
      <c r="K105" s="8">
        <f>559.639-7.092</f>
        <v>552.54700000000003</v>
      </c>
      <c r="L105" s="8">
        <v>102.70312</v>
      </c>
      <c r="M105" s="8">
        <f>521.581-0.798</f>
        <v>520.78300000000002</v>
      </c>
      <c r="N105" s="8">
        <v>106.8112448</v>
      </c>
      <c r="O105" s="8"/>
      <c r="P105" s="8">
        <v>111.083694592</v>
      </c>
      <c r="Q105" s="8"/>
      <c r="R105" s="8">
        <f t="shared" si="3"/>
        <v>2150.1851537919997</v>
      </c>
      <c r="S105" s="23">
        <f t="shared" si="24"/>
        <v>520.78300000000002</v>
      </c>
    </row>
    <row r="106" spans="1:19" s="24" customFormat="1" ht="8.25">
      <c r="A106" s="74" t="s">
        <v>161</v>
      </c>
      <c r="B106" s="75"/>
      <c r="C106" s="93" t="s">
        <v>162</v>
      </c>
      <c r="D106" s="94"/>
      <c r="E106" s="94"/>
      <c r="F106" s="94"/>
      <c r="G106" s="95"/>
      <c r="H106" s="21" t="s">
        <v>23</v>
      </c>
      <c r="I106" s="22">
        <f t="shared" ref="I106:Q106" si="35">I78+I93</f>
        <v>-129.8696467180788</v>
      </c>
      <c r="J106" s="8">
        <f t="shared" si="35"/>
        <v>-290.09222472052784</v>
      </c>
      <c r="K106" s="8">
        <f t="shared" si="35"/>
        <v>0.43300000000033378</v>
      </c>
      <c r="L106" s="8">
        <f t="shared" si="35"/>
        <v>42.540018676404543</v>
      </c>
      <c r="M106" s="8">
        <f t="shared" si="35"/>
        <v>-96.771999999999821</v>
      </c>
      <c r="N106" s="8">
        <f t="shared" si="35"/>
        <v>81.134409314349398</v>
      </c>
      <c r="O106" s="8">
        <f t="shared" si="35"/>
        <v>0</v>
      </c>
      <c r="P106" s="8">
        <f t="shared" si="35"/>
        <v>90.701543531293794</v>
      </c>
      <c r="Q106" s="8">
        <f t="shared" si="35"/>
        <v>0</v>
      </c>
      <c r="R106" s="8">
        <f t="shared" si="3"/>
        <v>-205.15289991655857</v>
      </c>
      <c r="S106" s="23">
        <f t="shared" si="24"/>
        <v>-96.771999999999821</v>
      </c>
    </row>
    <row r="107" spans="1:19" s="24" customFormat="1" ht="16.5" customHeight="1">
      <c r="A107" s="74" t="s">
        <v>163</v>
      </c>
      <c r="B107" s="75"/>
      <c r="C107" s="90" t="s">
        <v>164</v>
      </c>
      <c r="D107" s="91"/>
      <c r="E107" s="91"/>
      <c r="F107" s="91"/>
      <c r="G107" s="92"/>
      <c r="H107" s="21" t="s">
        <v>23</v>
      </c>
      <c r="I107" s="22">
        <f t="shared" ref="I107:Q107" si="36">I79</f>
        <v>0</v>
      </c>
      <c r="J107" s="8">
        <f t="shared" si="36"/>
        <v>0</v>
      </c>
      <c r="K107" s="8">
        <f t="shared" si="36"/>
        <v>0</v>
      </c>
      <c r="L107" s="8">
        <f t="shared" si="36"/>
        <v>0</v>
      </c>
      <c r="M107" s="8">
        <f t="shared" si="36"/>
        <v>0</v>
      </c>
      <c r="N107" s="8">
        <f t="shared" si="36"/>
        <v>0</v>
      </c>
      <c r="O107" s="8">
        <f t="shared" si="36"/>
        <v>0</v>
      </c>
      <c r="P107" s="8">
        <f t="shared" si="36"/>
        <v>0</v>
      </c>
      <c r="Q107" s="8">
        <f t="shared" si="36"/>
        <v>0</v>
      </c>
      <c r="R107" s="8">
        <f t="shared" si="3"/>
        <v>0</v>
      </c>
      <c r="S107" s="23">
        <f t="shared" si="24"/>
        <v>0</v>
      </c>
    </row>
    <row r="108" spans="1:19" s="24" customFormat="1" ht="16.5" customHeight="1">
      <c r="A108" s="74" t="s">
        <v>165</v>
      </c>
      <c r="B108" s="75"/>
      <c r="C108" s="87" t="s">
        <v>27</v>
      </c>
      <c r="D108" s="88"/>
      <c r="E108" s="88"/>
      <c r="F108" s="88"/>
      <c r="G108" s="89"/>
      <c r="H108" s="21" t="s">
        <v>23</v>
      </c>
      <c r="I108" s="22">
        <f t="shared" ref="I108:Q108" si="37">I80</f>
        <v>0</v>
      </c>
      <c r="J108" s="8">
        <f t="shared" si="37"/>
        <v>0</v>
      </c>
      <c r="K108" s="8">
        <f t="shared" si="37"/>
        <v>0</v>
      </c>
      <c r="L108" s="8">
        <f t="shared" si="37"/>
        <v>0</v>
      </c>
      <c r="M108" s="8">
        <f t="shared" si="37"/>
        <v>0</v>
      </c>
      <c r="N108" s="8">
        <f t="shared" si="37"/>
        <v>0</v>
      </c>
      <c r="O108" s="8">
        <f t="shared" si="37"/>
        <v>0</v>
      </c>
      <c r="P108" s="8">
        <f t="shared" si="37"/>
        <v>0</v>
      </c>
      <c r="Q108" s="8">
        <f t="shared" si="37"/>
        <v>0</v>
      </c>
      <c r="R108" s="8">
        <f t="shared" si="3"/>
        <v>0</v>
      </c>
      <c r="S108" s="23">
        <f t="shared" si="24"/>
        <v>0</v>
      </c>
    </row>
    <row r="109" spans="1:19" s="24" customFormat="1" ht="16.5" customHeight="1">
      <c r="A109" s="74" t="s">
        <v>166</v>
      </c>
      <c r="B109" s="75"/>
      <c r="C109" s="87" t="s">
        <v>29</v>
      </c>
      <c r="D109" s="88"/>
      <c r="E109" s="88"/>
      <c r="F109" s="88"/>
      <c r="G109" s="89"/>
      <c r="H109" s="21" t="s">
        <v>23</v>
      </c>
      <c r="I109" s="22">
        <f t="shared" ref="I109:Q109" si="38">I81</f>
        <v>0</v>
      </c>
      <c r="J109" s="8">
        <f t="shared" si="38"/>
        <v>0</v>
      </c>
      <c r="K109" s="8">
        <f t="shared" si="38"/>
        <v>0</v>
      </c>
      <c r="L109" s="8">
        <f t="shared" si="38"/>
        <v>0</v>
      </c>
      <c r="M109" s="8">
        <f t="shared" si="38"/>
        <v>0</v>
      </c>
      <c r="N109" s="8">
        <f t="shared" si="38"/>
        <v>0</v>
      </c>
      <c r="O109" s="8">
        <f t="shared" si="38"/>
        <v>0</v>
      </c>
      <c r="P109" s="8">
        <f t="shared" si="38"/>
        <v>0</v>
      </c>
      <c r="Q109" s="8">
        <f t="shared" si="38"/>
        <v>0</v>
      </c>
      <c r="R109" s="8">
        <f t="shared" si="3"/>
        <v>0</v>
      </c>
      <c r="S109" s="23">
        <f t="shared" si="24"/>
        <v>0</v>
      </c>
    </row>
    <row r="110" spans="1:19" s="24" customFormat="1" ht="16.5" customHeight="1">
      <c r="A110" s="74" t="s">
        <v>167</v>
      </c>
      <c r="B110" s="75"/>
      <c r="C110" s="87" t="s">
        <v>31</v>
      </c>
      <c r="D110" s="88"/>
      <c r="E110" s="88"/>
      <c r="F110" s="88"/>
      <c r="G110" s="89"/>
      <c r="H110" s="21" t="s">
        <v>23</v>
      </c>
      <c r="I110" s="22">
        <f t="shared" ref="I110:Q110" si="39">I82</f>
        <v>0</v>
      </c>
      <c r="J110" s="8">
        <f t="shared" si="39"/>
        <v>0</v>
      </c>
      <c r="K110" s="8">
        <f t="shared" si="39"/>
        <v>0</v>
      </c>
      <c r="L110" s="8">
        <f t="shared" si="39"/>
        <v>0</v>
      </c>
      <c r="M110" s="8">
        <f t="shared" si="39"/>
        <v>0</v>
      </c>
      <c r="N110" s="8">
        <f t="shared" si="39"/>
        <v>0</v>
      </c>
      <c r="O110" s="8">
        <f t="shared" si="39"/>
        <v>0</v>
      </c>
      <c r="P110" s="8">
        <f t="shared" si="39"/>
        <v>0</v>
      </c>
      <c r="Q110" s="8">
        <f t="shared" si="39"/>
        <v>0</v>
      </c>
      <c r="R110" s="8">
        <f t="shared" si="3"/>
        <v>0</v>
      </c>
      <c r="S110" s="23">
        <f t="shared" si="24"/>
        <v>0</v>
      </c>
    </row>
    <row r="111" spans="1:19" s="24" customFormat="1" ht="8.1" customHeight="1">
      <c r="A111" s="74" t="s">
        <v>168</v>
      </c>
      <c r="B111" s="75"/>
      <c r="C111" s="90" t="s">
        <v>33</v>
      </c>
      <c r="D111" s="91"/>
      <c r="E111" s="91"/>
      <c r="F111" s="91"/>
      <c r="G111" s="92"/>
      <c r="H111" s="21" t="s">
        <v>23</v>
      </c>
      <c r="I111" s="22">
        <f t="shared" ref="I111:Q111" si="40">I83</f>
        <v>0</v>
      </c>
      <c r="J111" s="8">
        <f t="shared" si="40"/>
        <v>0</v>
      </c>
      <c r="K111" s="8">
        <f t="shared" si="40"/>
        <v>0</v>
      </c>
      <c r="L111" s="8">
        <f t="shared" si="40"/>
        <v>0</v>
      </c>
      <c r="M111" s="8">
        <f t="shared" si="40"/>
        <v>0</v>
      </c>
      <c r="N111" s="8">
        <f t="shared" si="40"/>
        <v>0</v>
      </c>
      <c r="O111" s="8">
        <f t="shared" si="40"/>
        <v>0</v>
      </c>
      <c r="P111" s="8">
        <f t="shared" si="40"/>
        <v>0</v>
      </c>
      <c r="Q111" s="8">
        <f t="shared" si="40"/>
        <v>0</v>
      </c>
      <c r="R111" s="8">
        <f t="shared" si="3"/>
        <v>0</v>
      </c>
      <c r="S111" s="23">
        <f t="shared" si="24"/>
        <v>0</v>
      </c>
    </row>
    <row r="112" spans="1:19" s="24" customFormat="1" ht="8.1" customHeight="1">
      <c r="A112" s="74" t="s">
        <v>169</v>
      </c>
      <c r="B112" s="75"/>
      <c r="C112" s="90" t="s">
        <v>35</v>
      </c>
      <c r="D112" s="91"/>
      <c r="E112" s="91"/>
      <c r="F112" s="91"/>
      <c r="G112" s="92"/>
      <c r="H112" s="21" t="s">
        <v>23</v>
      </c>
      <c r="I112" s="22">
        <f t="shared" ref="I112:Q112" si="41">I84</f>
        <v>0</v>
      </c>
      <c r="J112" s="8">
        <f t="shared" si="41"/>
        <v>0</v>
      </c>
      <c r="K112" s="8">
        <f t="shared" si="41"/>
        <v>0</v>
      </c>
      <c r="L112" s="8">
        <f t="shared" si="41"/>
        <v>0</v>
      </c>
      <c r="M112" s="8">
        <f t="shared" si="41"/>
        <v>0</v>
      </c>
      <c r="N112" s="8">
        <f t="shared" si="41"/>
        <v>0</v>
      </c>
      <c r="O112" s="8">
        <f t="shared" si="41"/>
        <v>0</v>
      </c>
      <c r="P112" s="8">
        <f t="shared" si="41"/>
        <v>0</v>
      </c>
      <c r="Q112" s="8">
        <f t="shared" si="41"/>
        <v>0</v>
      </c>
      <c r="R112" s="8">
        <f t="shared" si="3"/>
        <v>0</v>
      </c>
      <c r="S112" s="23">
        <f t="shared" si="24"/>
        <v>0</v>
      </c>
    </row>
    <row r="113" spans="1:19" s="24" customFormat="1" ht="8.1" customHeight="1">
      <c r="A113" s="74" t="s">
        <v>170</v>
      </c>
      <c r="B113" s="75"/>
      <c r="C113" s="90" t="s">
        <v>37</v>
      </c>
      <c r="D113" s="91"/>
      <c r="E113" s="91"/>
      <c r="F113" s="91"/>
      <c r="G113" s="92"/>
      <c r="H113" s="21" t="s">
        <v>23</v>
      </c>
      <c r="I113" s="22">
        <f t="shared" ref="I113:Q113" si="42">I85</f>
        <v>0</v>
      </c>
      <c r="J113" s="8">
        <f t="shared" si="42"/>
        <v>0</v>
      </c>
      <c r="K113" s="8">
        <f t="shared" si="42"/>
        <v>0</v>
      </c>
      <c r="L113" s="8">
        <f t="shared" si="42"/>
        <v>0</v>
      </c>
      <c r="M113" s="8">
        <f t="shared" si="42"/>
        <v>0</v>
      </c>
      <c r="N113" s="8">
        <f t="shared" si="42"/>
        <v>0</v>
      </c>
      <c r="O113" s="8">
        <f t="shared" si="42"/>
        <v>0</v>
      </c>
      <c r="P113" s="8">
        <f t="shared" si="42"/>
        <v>0</v>
      </c>
      <c r="Q113" s="8">
        <f t="shared" si="42"/>
        <v>0</v>
      </c>
      <c r="R113" s="8">
        <f t="shared" si="3"/>
        <v>0</v>
      </c>
      <c r="S113" s="23">
        <f t="shared" si="24"/>
        <v>0</v>
      </c>
    </row>
    <row r="114" spans="1:19" s="24" customFormat="1" ht="8.1" customHeight="1">
      <c r="A114" s="74" t="s">
        <v>171</v>
      </c>
      <c r="B114" s="75"/>
      <c r="C114" s="90" t="s">
        <v>39</v>
      </c>
      <c r="D114" s="91"/>
      <c r="E114" s="91"/>
      <c r="F114" s="91"/>
      <c r="G114" s="92"/>
      <c r="H114" s="21" t="s">
        <v>23</v>
      </c>
      <c r="I114" s="22">
        <f t="shared" ref="I114:Q114" si="43">I86</f>
        <v>0</v>
      </c>
      <c r="J114" s="8">
        <f t="shared" si="43"/>
        <v>0</v>
      </c>
      <c r="K114" s="8">
        <f t="shared" si="43"/>
        <v>0</v>
      </c>
      <c r="L114" s="8">
        <f t="shared" si="43"/>
        <v>0</v>
      </c>
      <c r="M114" s="8">
        <f t="shared" si="43"/>
        <v>0</v>
      </c>
      <c r="N114" s="8">
        <f t="shared" si="43"/>
        <v>0</v>
      </c>
      <c r="O114" s="8">
        <f t="shared" si="43"/>
        <v>0</v>
      </c>
      <c r="P114" s="8">
        <f t="shared" si="43"/>
        <v>0</v>
      </c>
      <c r="Q114" s="8">
        <f t="shared" si="43"/>
        <v>0</v>
      </c>
      <c r="R114" s="8">
        <f t="shared" si="3"/>
        <v>0</v>
      </c>
      <c r="S114" s="23">
        <f t="shared" si="24"/>
        <v>0</v>
      </c>
    </row>
    <row r="115" spans="1:19" s="24" customFormat="1" ht="8.1" customHeight="1">
      <c r="A115" s="74" t="s">
        <v>172</v>
      </c>
      <c r="B115" s="75"/>
      <c r="C115" s="90" t="s">
        <v>41</v>
      </c>
      <c r="D115" s="91"/>
      <c r="E115" s="91"/>
      <c r="F115" s="91"/>
      <c r="G115" s="92"/>
      <c r="H115" s="21" t="s">
        <v>23</v>
      </c>
      <c r="I115" s="22">
        <f t="shared" ref="I115:Q115" si="44">I87+I93</f>
        <v>-134.46964671807734</v>
      </c>
      <c r="J115" s="8">
        <f t="shared" si="44"/>
        <v>-296.60225618052823</v>
      </c>
      <c r="K115" s="8">
        <f t="shared" si="44"/>
        <v>3.1340000000003556</v>
      </c>
      <c r="L115" s="8">
        <f t="shared" si="44"/>
        <v>24.361858676404154</v>
      </c>
      <c r="M115" s="8">
        <f t="shared" si="44"/>
        <v>-95.818999999999392</v>
      </c>
      <c r="N115" s="8">
        <f t="shared" si="44"/>
        <v>62.22912291434983</v>
      </c>
      <c r="O115" s="8">
        <f t="shared" si="44"/>
        <v>0</v>
      </c>
      <c r="P115" s="8">
        <f t="shared" si="44"/>
        <v>71.040045675293698</v>
      </c>
      <c r="Q115" s="8">
        <f t="shared" si="44"/>
        <v>0</v>
      </c>
      <c r="R115" s="8">
        <f t="shared" si="3"/>
        <v>-270.30687563255754</v>
      </c>
      <c r="S115" s="23">
        <f t="shared" si="24"/>
        <v>-95.818999999999392</v>
      </c>
    </row>
    <row r="116" spans="1:19" s="24" customFormat="1" ht="8.1" customHeight="1">
      <c r="A116" s="74" t="s">
        <v>173</v>
      </c>
      <c r="B116" s="75"/>
      <c r="C116" s="90" t="s">
        <v>43</v>
      </c>
      <c r="D116" s="91"/>
      <c r="E116" s="91"/>
      <c r="F116" s="91"/>
      <c r="G116" s="92"/>
      <c r="H116" s="21" t="s">
        <v>23</v>
      </c>
      <c r="I116" s="22">
        <f t="shared" ref="I116:Q116" si="45">I88</f>
        <v>0</v>
      </c>
      <c r="J116" s="8">
        <f t="shared" si="45"/>
        <v>0</v>
      </c>
      <c r="K116" s="8">
        <f t="shared" si="45"/>
        <v>0</v>
      </c>
      <c r="L116" s="8">
        <f t="shared" si="45"/>
        <v>0</v>
      </c>
      <c r="M116" s="8">
        <f t="shared" si="45"/>
        <v>0</v>
      </c>
      <c r="N116" s="8">
        <f t="shared" si="45"/>
        <v>0</v>
      </c>
      <c r="O116" s="8">
        <f t="shared" si="45"/>
        <v>0</v>
      </c>
      <c r="P116" s="8">
        <f t="shared" si="45"/>
        <v>0</v>
      </c>
      <c r="Q116" s="8">
        <f t="shared" si="45"/>
        <v>0</v>
      </c>
      <c r="R116" s="8">
        <f t="shared" si="3"/>
        <v>0</v>
      </c>
      <c r="S116" s="23">
        <f t="shared" si="24"/>
        <v>0</v>
      </c>
    </row>
    <row r="117" spans="1:19" s="24" customFormat="1" ht="16.5" customHeight="1">
      <c r="A117" s="74" t="s">
        <v>174</v>
      </c>
      <c r="B117" s="75"/>
      <c r="C117" s="90" t="s">
        <v>45</v>
      </c>
      <c r="D117" s="91"/>
      <c r="E117" s="91"/>
      <c r="F117" s="91"/>
      <c r="G117" s="92"/>
      <c r="H117" s="21" t="s">
        <v>23</v>
      </c>
      <c r="I117" s="22">
        <f t="shared" ref="I117:Q117" si="46">I89</f>
        <v>0</v>
      </c>
      <c r="J117" s="8">
        <f t="shared" si="46"/>
        <v>0</v>
      </c>
      <c r="K117" s="8">
        <f t="shared" si="46"/>
        <v>0</v>
      </c>
      <c r="L117" s="8">
        <f t="shared" si="46"/>
        <v>0</v>
      </c>
      <c r="M117" s="8">
        <f t="shared" si="46"/>
        <v>0</v>
      </c>
      <c r="N117" s="8">
        <f t="shared" si="46"/>
        <v>0</v>
      </c>
      <c r="O117" s="8">
        <f t="shared" si="46"/>
        <v>0</v>
      </c>
      <c r="P117" s="8">
        <f t="shared" si="46"/>
        <v>0</v>
      </c>
      <c r="Q117" s="8">
        <f t="shared" si="46"/>
        <v>0</v>
      </c>
      <c r="R117" s="8">
        <f t="shared" si="3"/>
        <v>0</v>
      </c>
      <c r="S117" s="23">
        <f t="shared" si="24"/>
        <v>0</v>
      </c>
    </row>
    <row r="118" spans="1:19" s="24" customFormat="1" ht="8.1" customHeight="1">
      <c r="A118" s="74" t="s">
        <v>175</v>
      </c>
      <c r="B118" s="75"/>
      <c r="C118" s="87" t="s">
        <v>47</v>
      </c>
      <c r="D118" s="88"/>
      <c r="E118" s="88"/>
      <c r="F118" s="88"/>
      <c r="G118" s="89"/>
      <c r="H118" s="21" t="s">
        <v>23</v>
      </c>
      <c r="I118" s="22">
        <f t="shared" ref="I118:Q118" si="47">I90</f>
        <v>0</v>
      </c>
      <c r="J118" s="8">
        <f t="shared" si="47"/>
        <v>0</v>
      </c>
      <c r="K118" s="8">
        <f t="shared" si="47"/>
        <v>0</v>
      </c>
      <c r="L118" s="8">
        <f t="shared" si="47"/>
        <v>0</v>
      </c>
      <c r="M118" s="8">
        <f t="shared" si="47"/>
        <v>0</v>
      </c>
      <c r="N118" s="8">
        <f t="shared" si="47"/>
        <v>0</v>
      </c>
      <c r="O118" s="8">
        <f t="shared" si="47"/>
        <v>0</v>
      </c>
      <c r="P118" s="8">
        <f t="shared" si="47"/>
        <v>0</v>
      </c>
      <c r="Q118" s="8">
        <f t="shared" si="47"/>
        <v>0</v>
      </c>
      <c r="R118" s="8">
        <f t="shared" si="3"/>
        <v>0</v>
      </c>
      <c r="S118" s="23">
        <f t="shared" si="24"/>
        <v>0</v>
      </c>
    </row>
    <row r="119" spans="1:19" s="24" customFormat="1" ht="8.1" customHeight="1">
      <c r="A119" s="74" t="s">
        <v>176</v>
      </c>
      <c r="B119" s="75"/>
      <c r="C119" s="87" t="s">
        <v>49</v>
      </c>
      <c r="D119" s="88"/>
      <c r="E119" s="88"/>
      <c r="F119" s="88"/>
      <c r="G119" s="89"/>
      <c r="H119" s="21" t="s">
        <v>23</v>
      </c>
      <c r="I119" s="22">
        <f t="shared" ref="I119:Q119" si="48">I91</f>
        <v>0</v>
      </c>
      <c r="J119" s="8">
        <f t="shared" si="48"/>
        <v>0</v>
      </c>
      <c r="K119" s="8">
        <f t="shared" si="48"/>
        <v>0</v>
      </c>
      <c r="L119" s="8">
        <f t="shared" si="48"/>
        <v>0</v>
      </c>
      <c r="M119" s="8">
        <f t="shared" si="48"/>
        <v>0</v>
      </c>
      <c r="N119" s="8">
        <f t="shared" si="48"/>
        <v>0</v>
      </c>
      <c r="O119" s="8">
        <f t="shared" si="48"/>
        <v>0</v>
      </c>
      <c r="P119" s="8">
        <f t="shared" si="48"/>
        <v>0</v>
      </c>
      <c r="Q119" s="8">
        <f t="shared" si="48"/>
        <v>0</v>
      </c>
      <c r="R119" s="8">
        <f t="shared" si="3"/>
        <v>0</v>
      </c>
      <c r="S119" s="23">
        <f t="shared" si="24"/>
        <v>0</v>
      </c>
    </row>
    <row r="120" spans="1:19" s="24" customFormat="1" ht="8.1" customHeight="1">
      <c r="A120" s="74" t="s">
        <v>177</v>
      </c>
      <c r="B120" s="75"/>
      <c r="C120" s="90" t="s">
        <v>51</v>
      </c>
      <c r="D120" s="91"/>
      <c r="E120" s="91"/>
      <c r="F120" s="91"/>
      <c r="G120" s="92"/>
      <c r="H120" s="21" t="s">
        <v>23</v>
      </c>
      <c r="I120" s="22">
        <f t="shared" ref="I120:Q120" si="49">I92</f>
        <v>4.6000000000000014</v>
      </c>
      <c r="J120" s="8">
        <f t="shared" si="49"/>
        <v>6.5100314600000004</v>
      </c>
      <c r="K120" s="8">
        <f t="shared" si="49"/>
        <v>-2.7010000000000005</v>
      </c>
      <c r="L120" s="8">
        <f t="shared" si="49"/>
        <v>18.178160000000005</v>
      </c>
      <c r="M120" s="8">
        <f t="shared" si="49"/>
        <v>-0.9529999999999994</v>
      </c>
      <c r="N120" s="8">
        <f t="shared" si="49"/>
        <v>18.905286400000008</v>
      </c>
      <c r="O120" s="8">
        <f t="shared" si="49"/>
        <v>0</v>
      </c>
      <c r="P120" s="8">
        <f t="shared" si="49"/>
        <v>19.661497856000011</v>
      </c>
      <c r="Q120" s="8">
        <f t="shared" si="49"/>
        <v>0</v>
      </c>
      <c r="R120" s="8">
        <f t="shared" si="3"/>
        <v>65.153975716000019</v>
      </c>
      <c r="S120" s="23">
        <f t="shared" si="24"/>
        <v>-0.9529999999999994</v>
      </c>
    </row>
    <row r="121" spans="1:19" s="24" customFormat="1" ht="8.25">
      <c r="A121" s="74" t="s">
        <v>178</v>
      </c>
      <c r="B121" s="75"/>
      <c r="C121" s="93" t="s">
        <v>179</v>
      </c>
      <c r="D121" s="94"/>
      <c r="E121" s="94"/>
      <c r="F121" s="94"/>
      <c r="G121" s="95"/>
      <c r="H121" s="21" t="s">
        <v>23</v>
      </c>
      <c r="I121" s="22">
        <f t="shared" ref="I121:Q121" si="50">I122+I126+I127+I128+I129+I130+I131+I132+I135</f>
        <v>-21.775099721151999</v>
      </c>
      <c r="J121" s="8">
        <f t="shared" si="50"/>
        <v>-38.090317918915304</v>
      </c>
      <c r="K121" s="8">
        <f t="shared" si="50"/>
        <v>6.6130000000000004</v>
      </c>
      <c r="L121" s="8">
        <f t="shared" si="50"/>
        <v>8.5080037352808322</v>
      </c>
      <c r="M121" s="8">
        <f t="shared" si="50"/>
        <v>50.652000000000001</v>
      </c>
      <c r="N121" s="8">
        <f t="shared" si="50"/>
        <v>16.22688186286997</v>
      </c>
      <c r="O121" s="8">
        <f t="shared" si="50"/>
        <v>0</v>
      </c>
      <c r="P121" s="8">
        <f t="shared" si="50"/>
        <v>18.140308706258743</v>
      </c>
      <c r="Q121" s="8">
        <f t="shared" si="50"/>
        <v>0</v>
      </c>
      <c r="R121" s="8">
        <f t="shared" si="3"/>
        <v>-10.377223335657764</v>
      </c>
      <c r="S121" s="23">
        <f t="shared" si="24"/>
        <v>50.652000000000001</v>
      </c>
    </row>
    <row r="122" spans="1:19" s="24" customFormat="1" ht="8.1" customHeight="1">
      <c r="A122" s="74" t="s">
        <v>180</v>
      </c>
      <c r="B122" s="75"/>
      <c r="C122" s="90" t="s">
        <v>25</v>
      </c>
      <c r="D122" s="91"/>
      <c r="E122" s="91"/>
      <c r="F122" s="91"/>
      <c r="G122" s="92"/>
      <c r="H122" s="21" t="s">
        <v>23</v>
      </c>
      <c r="I122" s="22">
        <f t="shared" ref="I122:Q122" si="51">I123+I124+I125</f>
        <v>0</v>
      </c>
      <c r="J122" s="8">
        <f t="shared" si="51"/>
        <v>0</v>
      </c>
      <c r="K122" s="8">
        <f t="shared" si="51"/>
        <v>0</v>
      </c>
      <c r="L122" s="8">
        <f t="shared" si="51"/>
        <v>0</v>
      </c>
      <c r="M122" s="8">
        <f t="shared" si="51"/>
        <v>0</v>
      </c>
      <c r="N122" s="8">
        <f t="shared" si="51"/>
        <v>0</v>
      </c>
      <c r="O122" s="8">
        <f t="shared" si="51"/>
        <v>0</v>
      </c>
      <c r="P122" s="8">
        <f t="shared" si="51"/>
        <v>0</v>
      </c>
      <c r="Q122" s="8">
        <f t="shared" si="51"/>
        <v>0</v>
      </c>
      <c r="R122" s="8">
        <f t="shared" si="3"/>
        <v>0</v>
      </c>
      <c r="S122" s="23">
        <f t="shared" si="24"/>
        <v>0</v>
      </c>
    </row>
    <row r="123" spans="1:19" s="24" customFormat="1" ht="16.5" customHeight="1">
      <c r="A123" s="74" t="s">
        <v>181</v>
      </c>
      <c r="B123" s="75"/>
      <c r="C123" s="87" t="s">
        <v>27</v>
      </c>
      <c r="D123" s="88"/>
      <c r="E123" s="88"/>
      <c r="F123" s="88"/>
      <c r="G123" s="89"/>
      <c r="H123" s="21" t="s">
        <v>23</v>
      </c>
      <c r="I123" s="22"/>
      <c r="J123" s="8"/>
      <c r="K123" s="8"/>
      <c r="L123" s="8"/>
      <c r="M123" s="8"/>
      <c r="N123" s="8"/>
      <c r="O123" s="8"/>
      <c r="P123" s="8"/>
      <c r="Q123" s="8"/>
      <c r="R123" s="8">
        <f t="shared" si="3"/>
        <v>0</v>
      </c>
      <c r="S123" s="23">
        <f t="shared" si="24"/>
        <v>0</v>
      </c>
    </row>
    <row r="124" spans="1:19" s="24" customFormat="1" ht="16.5" customHeight="1">
      <c r="A124" s="74" t="s">
        <v>182</v>
      </c>
      <c r="B124" s="75"/>
      <c r="C124" s="87" t="s">
        <v>29</v>
      </c>
      <c r="D124" s="88"/>
      <c r="E124" s="88"/>
      <c r="F124" s="88"/>
      <c r="G124" s="89"/>
      <c r="H124" s="21" t="s">
        <v>23</v>
      </c>
      <c r="I124" s="22"/>
      <c r="J124" s="8"/>
      <c r="K124" s="8"/>
      <c r="L124" s="8"/>
      <c r="M124" s="8"/>
      <c r="N124" s="8"/>
      <c r="O124" s="8"/>
      <c r="P124" s="8"/>
      <c r="Q124" s="8"/>
      <c r="R124" s="8">
        <f t="shared" si="3"/>
        <v>0</v>
      </c>
      <c r="S124" s="23">
        <f t="shared" si="24"/>
        <v>0</v>
      </c>
    </row>
    <row r="125" spans="1:19" s="24" customFormat="1" ht="16.5" customHeight="1">
      <c r="A125" s="74" t="s">
        <v>183</v>
      </c>
      <c r="B125" s="75"/>
      <c r="C125" s="87" t="s">
        <v>31</v>
      </c>
      <c r="D125" s="88"/>
      <c r="E125" s="88"/>
      <c r="F125" s="88"/>
      <c r="G125" s="89"/>
      <c r="H125" s="21" t="s">
        <v>23</v>
      </c>
      <c r="I125" s="22"/>
      <c r="J125" s="8"/>
      <c r="K125" s="8"/>
      <c r="L125" s="8"/>
      <c r="M125" s="8"/>
      <c r="N125" s="8"/>
      <c r="O125" s="8"/>
      <c r="P125" s="8"/>
      <c r="Q125" s="8"/>
      <c r="R125" s="8">
        <f t="shared" si="3"/>
        <v>0</v>
      </c>
      <c r="S125" s="23">
        <f t="shared" si="24"/>
        <v>0</v>
      </c>
    </row>
    <row r="126" spans="1:19" s="24" customFormat="1" ht="8.1" customHeight="1">
      <c r="A126" s="74" t="s">
        <v>184</v>
      </c>
      <c r="B126" s="75"/>
      <c r="C126" s="90" t="s">
        <v>185</v>
      </c>
      <c r="D126" s="91"/>
      <c r="E126" s="91"/>
      <c r="F126" s="91"/>
      <c r="G126" s="92"/>
      <c r="H126" s="21" t="s">
        <v>23</v>
      </c>
      <c r="I126" s="22"/>
      <c r="J126" s="8"/>
      <c r="K126" s="8"/>
      <c r="L126" s="8"/>
      <c r="M126" s="8"/>
      <c r="N126" s="8"/>
      <c r="O126" s="8"/>
      <c r="P126" s="8"/>
      <c r="Q126" s="8"/>
      <c r="R126" s="8">
        <f t="shared" si="3"/>
        <v>0</v>
      </c>
      <c r="S126" s="23">
        <f t="shared" si="24"/>
        <v>0</v>
      </c>
    </row>
    <row r="127" spans="1:19" s="24" customFormat="1" ht="8.1" customHeight="1">
      <c r="A127" s="74" t="s">
        <v>186</v>
      </c>
      <c r="B127" s="75"/>
      <c r="C127" s="90" t="s">
        <v>187</v>
      </c>
      <c r="D127" s="91"/>
      <c r="E127" s="91"/>
      <c r="F127" s="91"/>
      <c r="G127" s="92"/>
      <c r="H127" s="21" t="s">
        <v>23</v>
      </c>
      <c r="I127" s="22"/>
      <c r="J127" s="8"/>
      <c r="K127" s="8"/>
      <c r="L127" s="8"/>
      <c r="M127" s="8"/>
      <c r="N127" s="8"/>
      <c r="O127" s="8"/>
      <c r="P127" s="8"/>
      <c r="Q127" s="8"/>
      <c r="R127" s="8">
        <f t="shared" si="3"/>
        <v>0</v>
      </c>
      <c r="S127" s="23">
        <f t="shared" si="24"/>
        <v>0</v>
      </c>
    </row>
    <row r="128" spans="1:19" s="24" customFormat="1" ht="8.1" customHeight="1">
      <c r="A128" s="74" t="s">
        <v>188</v>
      </c>
      <c r="B128" s="75"/>
      <c r="C128" s="90" t="s">
        <v>189</v>
      </c>
      <c r="D128" s="91"/>
      <c r="E128" s="91"/>
      <c r="F128" s="91"/>
      <c r="G128" s="92"/>
      <c r="H128" s="21" t="s">
        <v>23</v>
      </c>
      <c r="I128" s="22"/>
      <c r="J128" s="8"/>
      <c r="K128" s="8"/>
      <c r="L128" s="8"/>
      <c r="M128" s="8"/>
      <c r="N128" s="8"/>
      <c r="O128" s="8"/>
      <c r="P128" s="8"/>
      <c r="Q128" s="8"/>
      <c r="R128" s="8">
        <f t="shared" si="3"/>
        <v>0</v>
      </c>
      <c r="S128" s="23">
        <f t="shared" si="24"/>
        <v>0</v>
      </c>
    </row>
    <row r="129" spans="1:19" s="24" customFormat="1" ht="8.1" customHeight="1">
      <c r="A129" s="74" t="s">
        <v>190</v>
      </c>
      <c r="B129" s="75"/>
      <c r="C129" s="90" t="s">
        <v>191</v>
      </c>
      <c r="D129" s="91"/>
      <c r="E129" s="91"/>
      <c r="F129" s="91"/>
      <c r="G129" s="92"/>
      <c r="H129" s="21" t="s">
        <v>23</v>
      </c>
      <c r="I129" s="22"/>
      <c r="J129" s="8"/>
      <c r="K129" s="8"/>
      <c r="L129" s="8"/>
      <c r="M129" s="8"/>
      <c r="N129" s="8"/>
      <c r="O129" s="8"/>
      <c r="P129" s="8"/>
      <c r="Q129" s="8"/>
      <c r="R129" s="8">
        <f t="shared" si="3"/>
        <v>0</v>
      </c>
      <c r="S129" s="23">
        <f t="shared" si="24"/>
        <v>0</v>
      </c>
    </row>
    <row r="130" spans="1:19" s="24" customFormat="1" ht="8.1" customHeight="1">
      <c r="A130" s="74" t="s">
        <v>192</v>
      </c>
      <c r="B130" s="75"/>
      <c r="C130" s="90" t="s">
        <v>193</v>
      </c>
      <c r="D130" s="91"/>
      <c r="E130" s="91"/>
      <c r="F130" s="91"/>
      <c r="G130" s="92"/>
      <c r="H130" s="21" t="s">
        <v>23</v>
      </c>
      <c r="I130" s="22">
        <f>-21775.099721152/1000-I135</f>
        <v>-22.695099721152001</v>
      </c>
      <c r="J130" s="8">
        <f>-38090.3179189153/1000-J135</f>
        <v>-39.392324210915305</v>
      </c>
      <c r="K130" s="8">
        <f>6.613-K135</f>
        <v>7.1532000000000009</v>
      </c>
      <c r="L130" s="8">
        <f t="shared" ref="L130:Q130" si="52">L115*0.2</f>
        <v>4.8723717352808311</v>
      </c>
      <c r="M130" s="8">
        <f>50.652-M135</f>
        <v>50.842600000000004</v>
      </c>
      <c r="N130" s="8">
        <f t="shared" si="52"/>
        <v>12.445824582869967</v>
      </c>
      <c r="O130" s="8">
        <f t="shared" si="52"/>
        <v>0</v>
      </c>
      <c r="P130" s="8">
        <f t="shared" si="52"/>
        <v>14.20800913505874</v>
      </c>
      <c r="Q130" s="8">
        <f t="shared" si="52"/>
        <v>0</v>
      </c>
      <c r="R130" s="8">
        <f t="shared" si="3"/>
        <v>-23.408018478857777</v>
      </c>
      <c r="S130" s="23">
        <f t="shared" si="24"/>
        <v>50.842600000000004</v>
      </c>
    </row>
    <row r="131" spans="1:19" s="24" customFormat="1" ht="8.1" customHeight="1">
      <c r="A131" s="74" t="s">
        <v>194</v>
      </c>
      <c r="B131" s="75"/>
      <c r="C131" s="90" t="s">
        <v>195</v>
      </c>
      <c r="D131" s="91"/>
      <c r="E131" s="91"/>
      <c r="F131" s="91"/>
      <c r="G131" s="92"/>
      <c r="H131" s="21" t="s">
        <v>23</v>
      </c>
      <c r="I131" s="22"/>
      <c r="J131" s="8"/>
      <c r="K131" s="8"/>
      <c r="L131" s="8"/>
      <c r="M131" s="8"/>
      <c r="N131" s="8"/>
      <c r="O131" s="8"/>
      <c r="P131" s="8"/>
      <c r="Q131" s="8"/>
      <c r="R131" s="8">
        <f t="shared" si="3"/>
        <v>0</v>
      </c>
      <c r="S131" s="23">
        <f t="shared" si="24"/>
        <v>0</v>
      </c>
    </row>
    <row r="132" spans="1:19" s="24" customFormat="1" ht="17.100000000000001" customHeight="1">
      <c r="A132" s="74" t="s">
        <v>196</v>
      </c>
      <c r="B132" s="75"/>
      <c r="C132" s="90" t="s">
        <v>45</v>
      </c>
      <c r="D132" s="91"/>
      <c r="E132" s="91"/>
      <c r="F132" s="91"/>
      <c r="G132" s="92"/>
      <c r="H132" s="21" t="s">
        <v>23</v>
      </c>
      <c r="I132" s="22">
        <f t="shared" ref="I132:Q132" si="53">I133+I134</f>
        <v>0</v>
      </c>
      <c r="J132" s="8">
        <f t="shared" si="53"/>
        <v>0</v>
      </c>
      <c r="K132" s="8">
        <f t="shared" si="53"/>
        <v>0</v>
      </c>
      <c r="L132" s="8">
        <f t="shared" si="53"/>
        <v>0</v>
      </c>
      <c r="M132" s="8">
        <f t="shared" si="53"/>
        <v>0</v>
      </c>
      <c r="N132" s="8">
        <f t="shared" si="53"/>
        <v>0</v>
      </c>
      <c r="O132" s="8">
        <f t="shared" si="53"/>
        <v>0</v>
      </c>
      <c r="P132" s="8">
        <f t="shared" si="53"/>
        <v>0</v>
      </c>
      <c r="Q132" s="8">
        <f t="shared" si="53"/>
        <v>0</v>
      </c>
      <c r="R132" s="8">
        <f t="shared" si="3"/>
        <v>0</v>
      </c>
      <c r="S132" s="23">
        <f t="shared" si="24"/>
        <v>0</v>
      </c>
    </row>
    <row r="133" spans="1:19" s="24" customFormat="1" ht="8.1" customHeight="1">
      <c r="A133" s="74" t="s">
        <v>197</v>
      </c>
      <c r="B133" s="75"/>
      <c r="C133" s="87" t="s">
        <v>47</v>
      </c>
      <c r="D133" s="88"/>
      <c r="E133" s="88"/>
      <c r="F133" s="88"/>
      <c r="G133" s="89"/>
      <c r="H133" s="21" t="s">
        <v>23</v>
      </c>
      <c r="I133" s="22"/>
      <c r="J133" s="8"/>
      <c r="K133" s="8"/>
      <c r="L133" s="8"/>
      <c r="M133" s="8"/>
      <c r="N133" s="8"/>
      <c r="O133" s="8"/>
      <c r="P133" s="8"/>
      <c r="Q133" s="8"/>
      <c r="R133" s="8">
        <f t="shared" si="3"/>
        <v>0</v>
      </c>
      <c r="S133" s="23">
        <f t="shared" si="24"/>
        <v>0</v>
      </c>
    </row>
    <row r="134" spans="1:19" s="24" customFormat="1" ht="8.1" customHeight="1">
      <c r="A134" s="74" t="s">
        <v>198</v>
      </c>
      <c r="B134" s="75"/>
      <c r="C134" s="87" t="s">
        <v>49</v>
      </c>
      <c r="D134" s="88"/>
      <c r="E134" s="88"/>
      <c r="F134" s="88"/>
      <c r="G134" s="89"/>
      <c r="H134" s="21" t="s">
        <v>23</v>
      </c>
      <c r="I134" s="22"/>
      <c r="J134" s="8"/>
      <c r="K134" s="8"/>
      <c r="L134" s="8"/>
      <c r="M134" s="8"/>
      <c r="N134" s="8"/>
      <c r="O134" s="8"/>
      <c r="P134" s="8"/>
      <c r="Q134" s="8"/>
      <c r="R134" s="8">
        <f t="shared" si="3"/>
        <v>0</v>
      </c>
      <c r="S134" s="23">
        <f t="shared" si="24"/>
        <v>0</v>
      </c>
    </row>
    <row r="135" spans="1:19" s="24" customFormat="1" ht="8.1" customHeight="1">
      <c r="A135" s="74" t="s">
        <v>199</v>
      </c>
      <c r="B135" s="75"/>
      <c r="C135" s="90" t="s">
        <v>200</v>
      </c>
      <c r="D135" s="91"/>
      <c r="E135" s="91"/>
      <c r="F135" s="91"/>
      <c r="G135" s="92"/>
      <c r="H135" s="21" t="s">
        <v>23</v>
      </c>
      <c r="I135" s="22">
        <f>I120*0.2</f>
        <v>0.92000000000000037</v>
      </c>
      <c r="J135" s="22">
        <f>J120*0.2</f>
        <v>1.3020062920000002</v>
      </c>
      <c r="K135" s="8">
        <f>K120*0.2</f>
        <v>-0.54020000000000012</v>
      </c>
      <c r="L135" s="8">
        <f t="shared" ref="L135:Q135" si="54">L120*0.2</f>
        <v>3.6356320000000011</v>
      </c>
      <c r="M135" s="8">
        <f t="shared" si="54"/>
        <v>-0.19059999999999988</v>
      </c>
      <c r="N135" s="8">
        <f t="shared" si="54"/>
        <v>3.781057280000002</v>
      </c>
      <c r="O135" s="8">
        <f t="shared" si="54"/>
        <v>0</v>
      </c>
      <c r="P135" s="8">
        <f t="shared" si="54"/>
        <v>3.9322995712000024</v>
      </c>
      <c r="Q135" s="8">
        <f t="shared" si="54"/>
        <v>0</v>
      </c>
      <c r="R135" s="8">
        <f t="shared" si="3"/>
        <v>13.030795143200006</v>
      </c>
      <c r="S135" s="23">
        <f t="shared" si="24"/>
        <v>-0.19059999999999988</v>
      </c>
    </row>
    <row r="136" spans="1:19" s="24" customFormat="1" ht="8.25">
      <c r="A136" s="74" t="s">
        <v>201</v>
      </c>
      <c r="B136" s="75"/>
      <c r="C136" s="93" t="s">
        <v>202</v>
      </c>
      <c r="D136" s="94"/>
      <c r="E136" s="94"/>
      <c r="F136" s="94"/>
      <c r="G136" s="95"/>
      <c r="H136" s="21" t="s">
        <v>23</v>
      </c>
      <c r="I136" s="22">
        <f t="shared" ref="I136:Q136" si="55">I106-I121</f>
        <v>-108.09454699692679</v>
      </c>
      <c r="J136" s="8">
        <f t="shared" si="55"/>
        <v>-252.00190680161253</v>
      </c>
      <c r="K136" s="8">
        <f t="shared" si="55"/>
        <v>-6.1799999999996666</v>
      </c>
      <c r="L136" s="8">
        <f t="shared" si="55"/>
        <v>34.032014941123713</v>
      </c>
      <c r="M136" s="8">
        <f t="shared" si="55"/>
        <v>-147.42399999999981</v>
      </c>
      <c r="N136" s="8">
        <f t="shared" si="55"/>
        <v>64.907527451479424</v>
      </c>
      <c r="O136" s="8">
        <f t="shared" si="55"/>
        <v>0</v>
      </c>
      <c r="P136" s="8">
        <f t="shared" si="55"/>
        <v>72.561234825035058</v>
      </c>
      <c r="Q136" s="8">
        <f t="shared" si="55"/>
        <v>0</v>
      </c>
      <c r="R136" s="8">
        <f t="shared" si="3"/>
        <v>-194.77567658090078</v>
      </c>
      <c r="S136" s="23">
        <f t="shared" si="24"/>
        <v>-147.42399999999981</v>
      </c>
    </row>
    <row r="137" spans="1:19" s="24" customFormat="1" ht="8.1" customHeight="1">
      <c r="A137" s="74" t="s">
        <v>203</v>
      </c>
      <c r="B137" s="75"/>
      <c r="C137" s="90" t="s">
        <v>25</v>
      </c>
      <c r="D137" s="91"/>
      <c r="E137" s="91"/>
      <c r="F137" s="91"/>
      <c r="G137" s="92"/>
      <c r="H137" s="21" t="s">
        <v>23</v>
      </c>
      <c r="I137" s="22">
        <f t="shared" ref="I137:Q137" si="56">I107-I122</f>
        <v>0</v>
      </c>
      <c r="J137" s="8">
        <f t="shared" si="56"/>
        <v>0</v>
      </c>
      <c r="K137" s="8">
        <f t="shared" si="56"/>
        <v>0</v>
      </c>
      <c r="L137" s="8">
        <f t="shared" si="56"/>
        <v>0</v>
      </c>
      <c r="M137" s="8">
        <f t="shared" si="56"/>
        <v>0</v>
      </c>
      <c r="N137" s="8">
        <f t="shared" si="56"/>
        <v>0</v>
      </c>
      <c r="O137" s="8">
        <f t="shared" si="56"/>
        <v>0</v>
      </c>
      <c r="P137" s="8">
        <f t="shared" si="56"/>
        <v>0</v>
      </c>
      <c r="Q137" s="8">
        <f t="shared" si="56"/>
        <v>0</v>
      </c>
      <c r="R137" s="8">
        <f t="shared" si="3"/>
        <v>0</v>
      </c>
      <c r="S137" s="23">
        <f t="shared" si="24"/>
        <v>0</v>
      </c>
    </row>
    <row r="138" spans="1:19" s="24" customFormat="1" ht="16.5" customHeight="1">
      <c r="A138" s="74" t="s">
        <v>204</v>
      </c>
      <c r="B138" s="75"/>
      <c r="C138" s="87" t="s">
        <v>27</v>
      </c>
      <c r="D138" s="88"/>
      <c r="E138" s="88"/>
      <c r="F138" s="88"/>
      <c r="G138" s="89"/>
      <c r="H138" s="21" t="s">
        <v>23</v>
      </c>
      <c r="I138" s="22">
        <f t="shared" ref="I138:Q138" si="57">I108-I123</f>
        <v>0</v>
      </c>
      <c r="J138" s="8">
        <f t="shared" si="57"/>
        <v>0</v>
      </c>
      <c r="K138" s="8">
        <f t="shared" si="57"/>
        <v>0</v>
      </c>
      <c r="L138" s="8">
        <f t="shared" si="57"/>
        <v>0</v>
      </c>
      <c r="M138" s="8">
        <f t="shared" si="57"/>
        <v>0</v>
      </c>
      <c r="N138" s="8">
        <f t="shared" si="57"/>
        <v>0</v>
      </c>
      <c r="O138" s="8">
        <f t="shared" si="57"/>
        <v>0</v>
      </c>
      <c r="P138" s="8">
        <f t="shared" si="57"/>
        <v>0</v>
      </c>
      <c r="Q138" s="8">
        <f t="shared" si="57"/>
        <v>0</v>
      </c>
      <c r="R138" s="8">
        <f t="shared" si="3"/>
        <v>0</v>
      </c>
      <c r="S138" s="23">
        <f t="shared" si="24"/>
        <v>0</v>
      </c>
    </row>
    <row r="139" spans="1:19" s="24" customFormat="1" ht="16.5" customHeight="1">
      <c r="A139" s="74" t="s">
        <v>205</v>
      </c>
      <c r="B139" s="75"/>
      <c r="C139" s="87" t="s">
        <v>29</v>
      </c>
      <c r="D139" s="88"/>
      <c r="E139" s="88"/>
      <c r="F139" s="88"/>
      <c r="G139" s="89"/>
      <c r="H139" s="21" t="s">
        <v>23</v>
      </c>
      <c r="I139" s="22">
        <f t="shared" ref="I139:Q139" si="58">I109-I124</f>
        <v>0</v>
      </c>
      <c r="J139" s="8">
        <f t="shared" si="58"/>
        <v>0</v>
      </c>
      <c r="K139" s="8">
        <f t="shared" si="58"/>
        <v>0</v>
      </c>
      <c r="L139" s="8">
        <f t="shared" si="58"/>
        <v>0</v>
      </c>
      <c r="M139" s="8">
        <f t="shared" si="58"/>
        <v>0</v>
      </c>
      <c r="N139" s="8">
        <f t="shared" si="58"/>
        <v>0</v>
      </c>
      <c r="O139" s="8">
        <f t="shared" si="58"/>
        <v>0</v>
      </c>
      <c r="P139" s="8">
        <f t="shared" si="58"/>
        <v>0</v>
      </c>
      <c r="Q139" s="8">
        <f t="shared" si="58"/>
        <v>0</v>
      </c>
      <c r="R139" s="8">
        <f t="shared" si="3"/>
        <v>0</v>
      </c>
      <c r="S139" s="23">
        <f t="shared" si="24"/>
        <v>0</v>
      </c>
    </row>
    <row r="140" spans="1:19" s="24" customFormat="1" ht="16.5" customHeight="1">
      <c r="A140" s="74" t="s">
        <v>206</v>
      </c>
      <c r="B140" s="75"/>
      <c r="C140" s="87" t="s">
        <v>31</v>
      </c>
      <c r="D140" s="88"/>
      <c r="E140" s="88"/>
      <c r="F140" s="88"/>
      <c r="G140" s="89"/>
      <c r="H140" s="21" t="s">
        <v>23</v>
      </c>
      <c r="I140" s="22">
        <f t="shared" ref="I140:Q140" si="59">I110-I125</f>
        <v>0</v>
      </c>
      <c r="J140" s="8">
        <f t="shared" si="59"/>
        <v>0</v>
      </c>
      <c r="K140" s="8">
        <f t="shared" si="59"/>
        <v>0</v>
      </c>
      <c r="L140" s="8">
        <f t="shared" si="59"/>
        <v>0</v>
      </c>
      <c r="M140" s="8">
        <f t="shared" si="59"/>
        <v>0</v>
      </c>
      <c r="N140" s="8">
        <f t="shared" si="59"/>
        <v>0</v>
      </c>
      <c r="O140" s="8">
        <f t="shared" si="59"/>
        <v>0</v>
      </c>
      <c r="P140" s="8">
        <f t="shared" si="59"/>
        <v>0</v>
      </c>
      <c r="Q140" s="8">
        <f t="shared" si="59"/>
        <v>0</v>
      </c>
      <c r="R140" s="8">
        <f t="shared" si="3"/>
        <v>0</v>
      </c>
      <c r="S140" s="23">
        <f t="shared" si="24"/>
        <v>0</v>
      </c>
    </row>
    <row r="141" spans="1:19" s="24" customFormat="1" ht="8.1" customHeight="1">
      <c r="A141" s="74" t="s">
        <v>207</v>
      </c>
      <c r="B141" s="75"/>
      <c r="C141" s="90" t="s">
        <v>33</v>
      </c>
      <c r="D141" s="91"/>
      <c r="E141" s="91"/>
      <c r="F141" s="91"/>
      <c r="G141" s="92"/>
      <c r="H141" s="21" t="s">
        <v>23</v>
      </c>
      <c r="I141" s="22">
        <f t="shared" ref="I141:Q141" si="60">I111-I126</f>
        <v>0</v>
      </c>
      <c r="J141" s="8">
        <f t="shared" si="60"/>
        <v>0</v>
      </c>
      <c r="K141" s="8">
        <f t="shared" si="60"/>
        <v>0</v>
      </c>
      <c r="L141" s="8">
        <f t="shared" si="60"/>
        <v>0</v>
      </c>
      <c r="M141" s="8">
        <f t="shared" si="60"/>
        <v>0</v>
      </c>
      <c r="N141" s="8">
        <f t="shared" si="60"/>
        <v>0</v>
      </c>
      <c r="O141" s="8">
        <f t="shared" si="60"/>
        <v>0</v>
      </c>
      <c r="P141" s="8">
        <f t="shared" si="60"/>
        <v>0</v>
      </c>
      <c r="Q141" s="8">
        <f t="shared" si="60"/>
        <v>0</v>
      </c>
      <c r="R141" s="8">
        <f t="shared" si="3"/>
        <v>0</v>
      </c>
      <c r="S141" s="23">
        <f t="shared" si="24"/>
        <v>0</v>
      </c>
    </row>
    <row r="142" spans="1:19" s="24" customFormat="1" ht="8.1" customHeight="1">
      <c r="A142" s="74" t="s">
        <v>208</v>
      </c>
      <c r="B142" s="75"/>
      <c r="C142" s="90" t="s">
        <v>35</v>
      </c>
      <c r="D142" s="91"/>
      <c r="E142" s="91"/>
      <c r="F142" s="91"/>
      <c r="G142" s="92"/>
      <c r="H142" s="21" t="s">
        <v>23</v>
      </c>
      <c r="I142" s="22">
        <f t="shared" ref="I142:Q142" si="61">I112-I127</f>
        <v>0</v>
      </c>
      <c r="J142" s="8">
        <f t="shared" si="61"/>
        <v>0</v>
      </c>
      <c r="K142" s="8">
        <f t="shared" si="61"/>
        <v>0</v>
      </c>
      <c r="L142" s="8">
        <f t="shared" si="61"/>
        <v>0</v>
      </c>
      <c r="M142" s="8">
        <f t="shared" si="61"/>
        <v>0</v>
      </c>
      <c r="N142" s="8">
        <f t="shared" si="61"/>
        <v>0</v>
      </c>
      <c r="O142" s="8">
        <f t="shared" si="61"/>
        <v>0</v>
      </c>
      <c r="P142" s="8">
        <f t="shared" si="61"/>
        <v>0</v>
      </c>
      <c r="Q142" s="8">
        <f t="shared" si="61"/>
        <v>0</v>
      </c>
      <c r="R142" s="8">
        <f t="shared" si="3"/>
        <v>0</v>
      </c>
      <c r="S142" s="23">
        <f t="shared" si="24"/>
        <v>0</v>
      </c>
    </row>
    <row r="143" spans="1:19" s="24" customFormat="1" ht="8.1" customHeight="1">
      <c r="A143" s="74" t="s">
        <v>209</v>
      </c>
      <c r="B143" s="75"/>
      <c r="C143" s="90" t="s">
        <v>37</v>
      </c>
      <c r="D143" s="91"/>
      <c r="E143" s="91"/>
      <c r="F143" s="91"/>
      <c r="G143" s="92"/>
      <c r="H143" s="21" t="s">
        <v>23</v>
      </c>
      <c r="I143" s="22">
        <f t="shared" ref="I143:Q143" si="62">I113-I128</f>
        <v>0</v>
      </c>
      <c r="J143" s="8">
        <f t="shared" si="62"/>
        <v>0</v>
      </c>
      <c r="K143" s="8">
        <f t="shared" si="62"/>
        <v>0</v>
      </c>
      <c r="L143" s="8">
        <f t="shared" si="62"/>
        <v>0</v>
      </c>
      <c r="M143" s="8">
        <f t="shared" si="62"/>
        <v>0</v>
      </c>
      <c r="N143" s="8">
        <f t="shared" si="62"/>
        <v>0</v>
      </c>
      <c r="O143" s="8">
        <f t="shared" si="62"/>
        <v>0</v>
      </c>
      <c r="P143" s="8">
        <f t="shared" si="62"/>
        <v>0</v>
      </c>
      <c r="Q143" s="8">
        <f t="shared" si="62"/>
        <v>0</v>
      </c>
      <c r="R143" s="8">
        <f t="shared" si="3"/>
        <v>0</v>
      </c>
      <c r="S143" s="23">
        <f t="shared" si="24"/>
        <v>0</v>
      </c>
    </row>
    <row r="144" spans="1:19" s="24" customFormat="1" ht="8.1" customHeight="1">
      <c r="A144" s="74" t="s">
        <v>210</v>
      </c>
      <c r="B144" s="75"/>
      <c r="C144" s="90" t="s">
        <v>39</v>
      </c>
      <c r="D144" s="91"/>
      <c r="E144" s="91"/>
      <c r="F144" s="91"/>
      <c r="G144" s="92"/>
      <c r="H144" s="21" t="s">
        <v>23</v>
      </c>
      <c r="I144" s="22">
        <f t="shared" ref="I144:Q144" si="63">I114-I129</f>
        <v>0</v>
      </c>
      <c r="J144" s="8">
        <f t="shared" si="63"/>
        <v>0</v>
      </c>
      <c r="K144" s="8">
        <f t="shared" si="63"/>
        <v>0</v>
      </c>
      <c r="L144" s="8">
        <f t="shared" si="63"/>
        <v>0</v>
      </c>
      <c r="M144" s="8">
        <f t="shared" si="63"/>
        <v>0</v>
      </c>
      <c r="N144" s="8">
        <f t="shared" si="63"/>
        <v>0</v>
      </c>
      <c r="O144" s="8">
        <f t="shared" si="63"/>
        <v>0</v>
      </c>
      <c r="P144" s="8">
        <f t="shared" si="63"/>
        <v>0</v>
      </c>
      <c r="Q144" s="8">
        <f t="shared" si="63"/>
        <v>0</v>
      </c>
      <c r="R144" s="8">
        <f t="shared" si="3"/>
        <v>0</v>
      </c>
      <c r="S144" s="23">
        <f t="shared" si="24"/>
        <v>0</v>
      </c>
    </row>
    <row r="145" spans="1:19" s="24" customFormat="1" ht="8.1" customHeight="1">
      <c r="A145" s="74" t="s">
        <v>211</v>
      </c>
      <c r="B145" s="75"/>
      <c r="C145" s="90" t="s">
        <v>41</v>
      </c>
      <c r="D145" s="91"/>
      <c r="E145" s="91"/>
      <c r="F145" s="91"/>
      <c r="G145" s="92"/>
      <c r="H145" s="21" t="s">
        <v>23</v>
      </c>
      <c r="I145" s="22">
        <f t="shared" ref="I145:Q145" si="64">I115-I130</f>
        <v>-111.77454699692534</v>
      </c>
      <c r="J145" s="8">
        <f t="shared" si="64"/>
        <v>-257.20993196961291</v>
      </c>
      <c r="K145" s="8">
        <f t="shared" si="64"/>
        <v>-4.0191999999996453</v>
      </c>
      <c r="L145" s="8">
        <f t="shared" si="64"/>
        <v>19.489486941123324</v>
      </c>
      <c r="M145" s="8">
        <f t="shared" si="64"/>
        <v>-146.6615999999994</v>
      </c>
      <c r="N145" s="8">
        <f t="shared" si="64"/>
        <v>49.783298331479862</v>
      </c>
      <c r="O145" s="8">
        <f t="shared" si="64"/>
        <v>0</v>
      </c>
      <c r="P145" s="8">
        <f t="shared" si="64"/>
        <v>56.832036540234959</v>
      </c>
      <c r="Q145" s="8">
        <f t="shared" si="64"/>
        <v>0</v>
      </c>
      <c r="R145" s="8">
        <f t="shared" si="3"/>
        <v>-246.89885715369977</v>
      </c>
      <c r="S145" s="23">
        <f t="shared" si="24"/>
        <v>-146.6615999999994</v>
      </c>
    </row>
    <row r="146" spans="1:19" s="24" customFormat="1" ht="8.1" customHeight="1">
      <c r="A146" s="74" t="s">
        <v>212</v>
      </c>
      <c r="B146" s="75"/>
      <c r="C146" s="90" t="s">
        <v>43</v>
      </c>
      <c r="D146" s="91"/>
      <c r="E146" s="91"/>
      <c r="F146" s="91"/>
      <c r="G146" s="92"/>
      <c r="H146" s="21" t="s">
        <v>23</v>
      </c>
      <c r="I146" s="22">
        <f t="shared" ref="I146:Q146" si="65">I116-I131</f>
        <v>0</v>
      </c>
      <c r="J146" s="8">
        <f t="shared" si="65"/>
        <v>0</v>
      </c>
      <c r="K146" s="8">
        <f t="shared" si="65"/>
        <v>0</v>
      </c>
      <c r="L146" s="8">
        <f t="shared" si="65"/>
        <v>0</v>
      </c>
      <c r="M146" s="8">
        <f t="shared" si="65"/>
        <v>0</v>
      </c>
      <c r="N146" s="8">
        <f t="shared" si="65"/>
        <v>0</v>
      </c>
      <c r="O146" s="8">
        <f t="shared" si="65"/>
        <v>0</v>
      </c>
      <c r="P146" s="8">
        <f t="shared" si="65"/>
        <v>0</v>
      </c>
      <c r="Q146" s="8">
        <f t="shared" si="65"/>
        <v>0</v>
      </c>
      <c r="R146" s="8">
        <f t="shared" si="3"/>
        <v>0</v>
      </c>
      <c r="S146" s="23">
        <f t="shared" si="24"/>
        <v>0</v>
      </c>
    </row>
    <row r="147" spans="1:19" s="24" customFormat="1" ht="16.5" customHeight="1">
      <c r="A147" s="74" t="s">
        <v>213</v>
      </c>
      <c r="B147" s="75"/>
      <c r="C147" s="90" t="s">
        <v>45</v>
      </c>
      <c r="D147" s="91"/>
      <c r="E147" s="91"/>
      <c r="F147" s="91"/>
      <c r="G147" s="92"/>
      <c r="H147" s="21" t="s">
        <v>23</v>
      </c>
      <c r="I147" s="22">
        <f t="shared" ref="I147:Q147" si="66">I117-I132</f>
        <v>0</v>
      </c>
      <c r="J147" s="8">
        <f t="shared" si="66"/>
        <v>0</v>
      </c>
      <c r="K147" s="8">
        <f t="shared" si="66"/>
        <v>0</v>
      </c>
      <c r="L147" s="8">
        <f t="shared" si="66"/>
        <v>0</v>
      </c>
      <c r="M147" s="8">
        <f t="shared" si="66"/>
        <v>0</v>
      </c>
      <c r="N147" s="8">
        <f t="shared" si="66"/>
        <v>0</v>
      </c>
      <c r="O147" s="8">
        <f t="shared" si="66"/>
        <v>0</v>
      </c>
      <c r="P147" s="8">
        <f t="shared" si="66"/>
        <v>0</v>
      </c>
      <c r="Q147" s="8">
        <f t="shared" si="66"/>
        <v>0</v>
      </c>
      <c r="R147" s="8">
        <f t="shared" si="3"/>
        <v>0</v>
      </c>
      <c r="S147" s="23">
        <f t="shared" si="24"/>
        <v>0</v>
      </c>
    </row>
    <row r="148" spans="1:19" s="24" customFormat="1" ht="8.1" customHeight="1">
      <c r="A148" s="74" t="s">
        <v>214</v>
      </c>
      <c r="B148" s="75"/>
      <c r="C148" s="87" t="s">
        <v>47</v>
      </c>
      <c r="D148" s="88"/>
      <c r="E148" s="88"/>
      <c r="F148" s="88"/>
      <c r="G148" s="89"/>
      <c r="H148" s="21" t="s">
        <v>23</v>
      </c>
      <c r="I148" s="22">
        <f t="shared" ref="I148:Q148" si="67">I118-I133</f>
        <v>0</v>
      </c>
      <c r="J148" s="8">
        <f t="shared" si="67"/>
        <v>0</v>
      </c>
      <c r="K148" s="8">
        <f t="shared" si="67"/>
        <v>0</v>
      </c>
      <c r="L148" s="8">
        <f t="shared" si="67"/>
        <v>0</v>
      </c>
      <c r="M148" s="8">
        <f t="shared" si="67"/>
        <v>0</v>
      </c>
      <c r="N148" s="8">
        <f t="shared" si="67"/>
        <v>0</v>
      </c>
      <c r="O148" s="8">
        <f t="shared" si="67"/>
        <v>0</v>
      </c>
      <c r="P148" s="8">
        <f t="shared" si="67"/>
        <v>0</v>
      </c>
      <c r="Q148" s="8">
        <f t="shared" si="67"/>
        <v>0</v>
      </c>
      <c r="R148" s="8">
        <f t="shared" si="3"/>
        <v>0</v>
      </c>
      <c r="S148" s="23">
        <f t="shared" si="24"/>
        <v>0</v>
      </c>
    </row>
    <row r="149" spans="1:19" s="24" customFormat="1" ht="8.1" customHeight="1">
      <c r="A149" s="74" t="s">
        <v>215</v>
      </c>
      <c r="B149" s="75"/>
      <c r="C149" s="87" t="s">
        <v>49</v>
      </c>
      <c r="D149" s="88"/>
      <c r="E149" s="88"/>
      <c r="F149" s="88"/>
      <c r="G149" s="89"/>
      <c r="H149" s="21" t="s">
        <v>23</v>
      </c>
      <c r="I149" s="22">
        <f t="shared" ref="I149:Q149" si="68">I119-I134</f>
        <v>0</v>
      </c>
      <c r="J149" s="8">
        <f t="shared" si="68"/>
        <v>0</v>
      </c>
      <c r="K149" s="8">
        <f t="shared" si="68"/>
        <v>0</v>
      </c>
      <c r="L149" s="8">
        <f t="shared" si="68"/>
        <v>0</v>
      </c>
      <c r="M149" s="8">
        <f t="shared" si="68"/>
        <v>0</v>
      </c>
      <c r="N149" s="8">
        <f t="shared" si="68"/>
        <v>0</v>
      </c>
      <c r="O149" s="8">
        <f t="shared" si="68"/>
        <v>0</v>
      </c>
      <c r="P149" s="8">
        <f t="shared" si="68"/>
        <v>0</v>
      </c>
      <c r="Q149" s="8">
        <f t="shared" si="68"/>
        <v>0</v>
      </c>
      <c r="R149" s="8">
        <f t="shared" si="3"/>
        <v>0</v>
      </c>
      <c r="S149" s="23">
        <f t="shared" ref="S149:S162" si="69">M149+O149+Q149</f>
        <v>0</v>
      </c>
    </row>
    <row r="150" spans="1:19" s="24" customFormat="1" ht="8.1" customHeight="1">
      <c r="A150" s="74" t="s">
        <v>216</v>
      </c>
      <c r="B150" s="75"/>
      <c r="C150" s="90" t="s">
        <v>51</v>
      </c>
      <c r="D150" s="91"/>
      <c r="E150" s="91"/>
      <c r="F150" s="91"/>
      <c r="G150" s="92"/>
      <c r="H150" s="21" t="s">
        <v>23</v>
      </c>
      <c r="I150" s="22">
        <f t="shared" ref="I150:Q150" si="70">I120-I135</f>
        <v>3.680000000000001</v>
      </c>
      <c r="J150" s="8">
        <f>J120-J135</f>
        <v>5.2080251680000007</v>
      </c>
      <c r="K150" s="8">
        <f t="shared" si="70"/>
        <v>-2.1608000000000005</v>
      </c>
      <c r="L150" s="8">
        <f t="shared" si="70"/>
        <v>14.542528000000004</v>
      </c>
      <c r="M150" s="8">
        <f t="shared" si="70"/>
        <v>-0.76239999999999952</v>
      </c>
      <c r="N150" s="8">
        <f t="shared" si="70"/>
        <v>15.124229120000006</v>
      </c>
      <c r="O150" s="8">
        <f t="shared" si="70"/>
        <v>0</v>
      </c>
      <c r="P150" s="8">
        <f t="shared" si="70"/>
        <v>15.72919828480001</v>
      </c>
      <c r="Q150" s="8">
        <f t="shared" si="70"/>
        <v>0</v>
      </c>
      <c r="R150" s="8">
        <f t="shared" si="3"/>
        <v>52.123180572800024</v>
      </c>
      <c r="S150" s="23">
        <f t="shared" si="69"/>
        <v>-0.76239999999999952</v>
      </c>
    </row>
    <row r="151" spans="1:19" s="24" customFormat="1" ht="8.1" customHeight="1">
      <c r="A151" s="74" t="s">
        <v>217</v>
      </c>
      <c r="B151" s="75"/>
      <c r="C151" s="93" t="s">
        <v>218</v>
      </c>
      <c r="D151" s="94"/>
      <c r="E151" s="94"/>
      <c r="F151" s="94"/>
      <c r="G151" s="95"/>
      <c r="H151" s="21" t="s">
        <v>23</v>
      </c>
      <c r="I151" s="22">
        <f t="shared" ref="I151:Q151" si="71">I152+I153+I154+I155</f>
        <v>0</v>
      </c>
      <c r="J151" s="8">
        <f t="shared" si="71"/>
        <v>0</v>
      </c>
      <c r="K151" s="8">
        <f t="shared" si="71"/>
        <v>0</v>
      </c>
      <c r="L151" s="8">
        <f t="shared" si="71"/>
        <v>0</v>
      </c>
      <c r="M151" s="8">
        <f t="shared" si="71"/>
        <v>0</v>
      </c>
      <c r="N151" s="8">
        <f t="shared" si="71"/>
        <v>0</v>
      </c>
      <c r="O151" s="8">
        <f t="shared" si="71"/>
        <v>0</v>
      </c>
      <c r="P151" s="8">
        <f t="shared" si="71"/>
        <v>0</v>
      </c>
      <c r="Q151" s="8">
        <f t="shared" si="71"/>
        <v>0</v>
      </c>
      <c r="R151" s="8">
        <f t="shared" si="3"/>
        <v>0</v>
      </c>
      <c r="S151" s="23">
        <f t="shared" si="69"/>
        <v>0</v>
      </c>
    </row>
    <row r="152" spans="1:19" s="24" customFormat="1" ht="8.1" customHeight="1">
      <c r="A152" s="74" t="s">
        <v>219</v>
      </c>
      <c r="B152" s="75"/>
      <c r="C152" s="90" t="s">
        <v>220</v>
      </c>
      <c r="D152" s="91"/>
      <c r="E152" s="91"/>
      <c r="F152" s="91"/>
      <c r="G152" s="92"/>
      <c r="H152" s="21" t="s">
        <v>23</v>
      </c>
      <c r="I152" s="22"/>
      <c r="J152" s="8"/>
      <c r="K152" s="8"/>
      <c r="L152" s="8"/>
      <c r="M152" s="8"/>
      <c r="N152" s="8"/>
      <c r="O152" s="8"/>
      <c r="P152" s="8"/>
      <c r="Q152" s="8"/>
      <c r="R152" s="8">
        <f t="shared" si="3"/>
        <v>0</v>
      </c>
      <c r="S152" s="23">
        <f t="shared" si="69"/>
        <v>0</v>
      </c>
    </row>
    <row r="153" spans="1:19" s="24" customFormat="1" ht="8.1" customHeight="1">
      <c r="A153" s="74" t="s">
        <v>221</v>
      </c>
      <c r="B153" s="75"/>
      <c r="C153" s="90" t="s">
        <v>222</v>
      </c>
      <c r="D153" s="91"/>
      <c r="E153" s="91"/>
      <c r="F153" s="91"/>
      <c r="G153" s="92"/>
      <c r="H153" s="21" t="s">
        <v>23</v>
      </c>
      <c r="I153" s="22"/>
      <c r="J153" s="8"/>
      <c r="K153" s="8"/>
      <c r="L153" s="8"/>
      <c r="M153" s="8"/>
      <c r="N153" s="8"/>
      <c r="O153" s="8"/>
      <c r="P153" s="8"/>
      <c r="Q153" s="8"/>
      <c r="R153" s="8">
        <f t="shared" si="3"/>
        <v>0</v>
      </c>
      <c r="S153" s="23">
        <f t="shared" si="69"/>
        <v>0</v>
      </c>
    </row>
    <row r="154" spans="1:19" s="24" customFormat="1" ht="8.1" customHeight="1">
      <c r="A154" s="74" t="s">
        <v>223</v>
      </c>
      <c r="B154" s="75"/>
      <c r="C154" s="90" t="s">
        <v>224</v>
      </c>
      <c r="D154" s="91"/>
      <c r="E154" s="91"/>
      <c r="F154" s="91"/>
      <c r="G154" s="92"/>
      <c r="H154" s="21" t="s">
        <v>23</v>
      </c>
      <c r="I154" s="22"/>
      <c r="J154" s="8"/>
      <c r="K154" s="8"/>
      <c r="L154" s="8"/>
      <c r="M154" s="8"/>
      <c r="N154" s="8"/>
      <c r="O154" s="8"/>
      <c r="P154" s="8"/>
      <c r="Q154" s="8"/>
      <c r="R154" s="8">
        <f t="shared" si="3"/>
        <v>0</v>
      </c>
      <c r="S154" s="23">
        <f t="shared" si="69"/>
        <v>0</v>
      </c>
    </row>
    <row r="155" spans="1:19" s="24" customFormat="1" ht="9" thickBot="1">
      <c r="A155" s="96" t="s">
        <v>225</v>
      </c>
      <c r="B155" s="97"/>
      <c r="C155" s="101" t="s">
        <v>226</v>
      </c>
      <c r="D155" s="102"/>
      <c r="E155" s="102"/>
      <c r="F155" s="102"/>
      <c r="G155" s="103"/>
      <c r="H155" s="51" t="s">
        <v>23</v>
      </c>
      <c r="I155" s="52"/>
      <c r="J155" s="10"/>
      <c r="K155" s="10"/>
      <c r="L155" s="10"/>
      <c r="M155" s="10"/>
      <c r="N155" s="10"/>
      <c r="O155" s="10"/>
      <c r="P155" s="10"/>
      <c r="Q155" s="10"/>
      <c r="R155" s="10">
        <f t="shared" si="3"/>
        <v>0</v>
      </c>
      <c r="S155" s="53">
        <f t="shared" si="69"/>
        <v>0</v>
      </c>
    </row>
    <row r="156" spans="1:19" s="24" customFormat="1" ht="9" customHeight="1">
      <c r="A156" s="76" t="s">
        <v>227</v>
      </c>
      <c r="B156" s="77"/>
      <c r="C156" s="125" t="s">
        <v>114</v>
      </c>
      <c r="D156" s="126"/>
      <c r="E156" s="126"/>
      <c r="F156" s="126"/>
      <c r="G156" s="127"/>
      <c r="H156" s="54" t="s">
        <v>228</v>
      </c>
      <c r="I156" s="55"/>
      <c r="J156" s="11"/>
      <c r="K156" s="11"/>
      <c r="L156" s="11"/>
      <c r="M156" s="11"/>
      <c r="N156" s="11"/>
      <c r="O156" s="11"/>
      <c r="P156" s="11"/>
      <c r="Q156" s="11"/>
      <c r="R156" s="11">
        <f t="shared" si="3"/>
        <v>0</v>
      </c>
      <c r="S156" s="56">
        <f t="shared" si="69"/>
        <v>0</v>
      </c>
    </row>
    <row r="157" spans="1:19" s="24" customFormat="1" ht="16.5" customHeight="1">
      <c r="A157" s="74" t="s">
        <v>229</v>
      </c>
      <c r="B157" s="75"/>
      <c r="C157" s="90" t="s">
        <v>230</v>
      </c>
      <c r="D157" s="91"/>
      <c r="E157" s="91"/>
      <c r="F157" s="91"/>
      <c r="G157" s="92"/>
      <c r="H157" s="21" t="s">
        <v>23</v>
      </c>
      <c r="I157" s="22">
        <f t="shared" ref="I157:Q157" si="72">I106+I102+I66</f>
        <v>-98.015375218078802</v>
      </c>
      <c r="J157" s="8">
        <f t="shared" si="72"/>
        <v>-191.78670782052785</v>
      </c>
      <c r="K157" s="8">
        <f t="shared" si="72"/>
        <v>70.789000000000328</v>
      </c>
      <c r="L157" s="8">
        <f t="shared" si="72"/>
        <v>216.79201867640455</v>
      </c>
      <c r="M157" s="8">
        <f t="shared" si="72"/>
        <v>-82.437999999999818</v>
      </c>
      <c r="N157" s="8">
        <f t="shared" si="72"/>
        <v>262.3564893143494</v>
      </c>
      <c r="O157" s="8">
        <f t="shared" si="72"/>
        <v>0</v>
      </c>
      <c r="P157" s="8">
        <f t="shared" si="72"/>
        <v>279.17250673129382</v>
      </c>
      <c r="Q157" s="8">
        <f t="shared" si="72"/>
        <v>0</v>
      </c>
      <c r="R157" s="8">
        <f t="shared" si="3"/>
        <v>539.30793168344144</v>
      </c>
      <c r="S157" s="23">
        <f t="shared" si="69"/>
        <v>-82.437999999999818</v>
      </c>
    </row>
    <row r="158" spans="1:19" s="24" customFormat="1" ht="8.1" customHeight="1">
      <c r="A158" s="74" t="s">
        <v>231</v>
      </c>
      <c r="B158" s="75"/>
      <c r="C158" s="90" t="s">
        <v>232</v>
      </c>
      <c r="D158" s="91"/>
      <c r="E158" s="91"/>
      <c r="F158" s="91"/>
      <c r="G158" s="92"/>
      <c r="H158" s="21" t="s">
        <v>23</v>
      </c>
      <c r="I158" s="22">
        <v>50</v>
      </c>
      <c r="J158" s="8">
        <v>832</v>
      </c>
      <c r="K158" s="8">
        <v>1170.5519999999999</v>
      </c>
      <c r="L158" s="8">
        <v>1210.5519999999999</v>
      </c>
      <c r="M158" s="8">
        <v>493.85300000000001</v>
      </c>
      <c r="N158" s="8">
        <v>953</v>
      </c>
      <c r="O158" s="8"/>
      <c r="P158" s="8">
        <v>821</v>
      </c>
      <c r="Q158" s="8"/>
      <c r="R158" s="8">
        <f t="shared" si="3"/>
        <v>5037.1039999999994</v>
      </c>
      <c r="S158" s="23">
        <f t="shared" si="69"/>
        <v>493.85300000000001</v>
      </c>
    </row>
    <row r="159" spans="1:19" s="24" customFormat="1" ht="8.1" customHeight="1">
      <c r="A159" s="74" t="s">
        <v>233</v>
      </c>
      <c r="B159" s="75"/>
      <c r="C159" s="87" t="s">
        <v>234</v>
      </c>
      <c r="D159" s="88"/>
      <c r="E159" s="88"/>
      <c r="F159" s="88"/>
      <c r="G159" s="89"/>
      <c r="H159" s="21" t="s">
        <v>23</v>
      </c>
      <c r="I159" s="22">
        <v>50</v>
      </c>
      <c r="J159" s="8">
        <v>832</v>
      </c>
      <c r="K159" s="8">
        <v>1170.5519999999999</v>
      </c>
      <c r="L159" s="8">
        <v>1210.5519999999999</v>
      </c>
      <c r="M159" s="8">
        <v>493.85300000000001</v>
      </c>
      <c r="N159" s="8">
        <v>953</v>
      </c>
      <c r="O159" s="8"/>
      <c r="P159" s="8">
        <v>821</v>
      </c>
      <c r="Q159" s="8"/>
      <c r="R159" s="8">
        <f t="shared" si="3"/>
        <v>5037.1039999999994</v>
      </c>
      <c r="S159" s="23">
        <f t="shared" si="69"/>
        <v>493.85300000000001</v>
      </c>
    </row>
    <row r="160" spans="1:19" s="24" customFormat="1" ht="8.1" customHeight="1">
      <c r="A160" s="74" t="s">
        <v>235</v>
      </c>
      <c r="B160" s="75"/>
      <c r="C160" s="90" t="s">
        <v>236</v>
      </c>
      <c r="D160" s="91"/>
      <c r="E160" s="91"/>
      <c r="F160" s="91"/>
      <c r="G160" s="92"/>
      <c r="H160" s="21" t="s">
        <v>23</v>
      </c>
      <c r="I160" s="22">
        <v>832</v>
      </c>
      <c r="J160" s="8">
        <v>1170.5519999999999</v>
      </c>
      <c r="K160" s="8">
        <v>493.85300000000001</v>
      </c>
      <c r="L160" s="8">
        <v>953</v>
      </c>
      <c r="M160" s="8">
        <v>390.67899999999997</v>
      </c>
      <c r="N160" s="8">
        <v>821</v>
      </c>
      <c r="O160" s="8"/>
      <c r="P160" s="8">
        <v>687</v>
      </c>
      <c r="Q160" s="8"/>
      <c r="R160" s="8">
        <f t="shared" si="3"/>
        <v>4957.4049999999997</v>
      </c>
      <c r="S160" s="23">
        <f t="shared" si="69"/>
        <v>390.67899999999997</v>
      </c>
    </row>
    <row r="161" spans="1:19" s="24" customFormat="1" ht="8.1" customHeight="1">
      <c r="A161" s="74" t="s">
        <v>237</v>
      </c>
      <c r="B161" s="75"/>
      <c r="C161" s="87" t="s">
        <v>238</v>
      </c>
      <c r="D161" s="88"/>
      <c r="E161" s="88"/>
      <c r="F161" s="88"/>
      <c r="G161" s="89"/>
      <c r="H161" s="21" t="s">
        <v>23</v>
      </c>
      <c r="I161" s="22">
        <v>832</v>
      </c>
      <c r="J161" s="8">
        <v>1170.5519999999999</v>
      </c>
      <c r="K161" s="8">
        <v>493.85300000000001</v>
      </c>
      <c r="L161" s="8">
        <v>953</v>
      </c>
      <c r="M161" s="8">
        <v>390.67899999999997</v>
      </c>
      <c r="N161" s="8">
        <v>821</v>
      </c>
      <c r="O161" s="8"/>
      <c r="P161" s="8">
        <v>687</v>
      </c>
      <c r="Q161" s="8"/>
      <c r="R161" s="8">
        <f t="shared" si="3"/>
        <v>4957.4049999999997</v>
      </c>
      <c r="S161" s="23">
        <f t="shared" si="69"/>
        <v>390.67899999999997</v>
      </c>
    </row>
    <row r="162" spans="1:19" s="24" customFormat="1" ht="17.25" customHeight="1" thickBot="1">
      <c r="A162" s="96" t="s">
        <v>239</v>
      </c>
      <c r="B162" s="97"/>
      <c r="C162" s="101" t="s">
        <v>240</v>
      </c>
      <c r="D162" s="102"/>
      <c r="E162" s="102"/>
      <c r="F162" s="102"/>
      <c r="G162" s="103"/>
      <c r="H162" s="51" t="s">
        <v>228</v>
      </c>
      <c r="I162" s="52">
        <f t="shared" ref="I162:R162" si="73">IF(I157=0,0,I160/I157)</f>
        <v>-8.4884641633911606</v>
      </c>
      <c r="J162" s="10">
        <f>IF(J157=0,0,J160/J157)</f>
        <v>-6.1034052531700533</v>
      </c>
      <c r="K162" s="10">
        <f t="shared" si="73"/>
        <v>6.976408764073482</v>
      </c>
      <c r="L162" s="10">
        <f t="shared" si="73"/>
        <v>4.3959182898817835</v>
      </c>
      <c r="M162" s="10">
        <f t="shared" si="73"/>
        <v>-4.739064509085626</v>
      </c>
      <c r="N162" s="10">
        <f t="shared" si="73"/>
        <v>3.129329875337282</v>
      </c>
      <c r="O162" s="10">
        <f t="shared" si="73"/>
        <v>0</v>
      </c>
      <c r="P162" s="10">
        <f t="shared" si="73"/>
        <v>2.4608440424301667</v>
      </c>
      <c r="Q162" s="10">
        <f t="shared" si="73"/>
        <v>0</v>
      </c>
      <c r="R162" s="10">
        <f t="shared" si="73"/>
        <v>9.1921603758460151</v>
      </c>
      <c r="S162" s="53">
        <f t="shared" si="69"/>
        <v>-4.739064509085626</v>
      </c>
    </row>
    <row r="163" spans="1:19" s="57" customFormat="1" ht="10.5" customHeight="1" thickBot="1">
      <c r="A163" s="112" t="s">
        <v>241</v>
      </c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4"/>
    </row>
    <row r="164" spans="1:19" s="24" customFormat="1" ht="9" customHeight="1">
      <c r="A164" s="76" t="s">
        <v>242</v>
      </c>
      <c r="B164" s="77"/>
      <c r="C164" s="125" t="s">
        <v>243</v>
      </c>
      <c r="D164" s="126"/>
      <c r="E164" s="126"/>
      <c r="F164" s="126"/>
      <c r="G164" s="127"/>
      <c r="H164" s="21" t="s">
        <v>23</v>
      </c>
      <c r="I164" s="22">
        <f t="shared" ref="I164:Q164" si="74">I165+I169+I170+I171+I172+I173+I174+I175+I178+I181</f>
        <v>10881.6070009369</v>
      </c>
      <c r="J164" s="8">
        <f t="shared" si="74"/>
        <v>9286.8205473743092</v>
      </c>
      <c r="K164" s="8">
        <f t="shared" si="74"/>
        <v>8132.6440000000002</v>
      </c>
      <c r="L164" s="8">
        <f t="shared" si="74"/>
        <v>8926.1494399999992</v>
      </c>
      <c r="M164" s="8">
        <f t="shared" si="74"/>
        <v>2813.578</v>
      </c>
      <c r="N164" s="8">
        <f t="shared" si="74"/>
        <v>9283.1954175999981</v>
      </c>
      <c r="O164" s="8">
        <f t="shared" si="74"/>
        <v>0</v>
      </c>
      <c r="P164" s="8">
        <f t="shared" si="74"/>
        <v>9654.5232343039988</v>
      </c>
      <c r="Q164" s="8">
        <f t="shared" si="74"/>
        <v>0</v>
      </c>
      <c r="R164" s="8">
        <f t="shared" ref="R164:R314" si="75">I164+J164+K164+L164+N164+P164</f>
        <v>56164.939640215205</v>
      </c>
      <c r="S164" s="23">
        <f t="shared" ref="S164:S227" si="76">M164+O164+Q164</f>
        <v>2813.578</v>
      </c>
    </row>
    <row r="165" spans="1:19" s="24" customFormat="1" ht="8.1" customHeight="1">
      <c r="A165" s="74" t="s">
        <v>244</v>
      </c>
      <c r="B165" s="75"/>
      <c r="C165" s="90" t="s">
        <v>25</v>
      </c>
      <c r="D165" s="91"/>
      <c r="E165" s="91"/>
      <c r="F165" s="91"/>
      <c r="G165" s="92"/>
      <c r="H165" s="21" t="s">
        <v>23</v>
      </c>
      <c r="I165" s="22">
        <f t="shared" ref="I165:Q165" si="77">I166+I167+I168</f>
        <v>0</v>
      </c>
      <c r="J165" s="8">
        <f t="shared" si="77"/>
        <v>0</v>
      </c>
      <c r="K165" s="8">
        <f t="shared" si="77"/>
        <v>0</v>
      </c>
      <c r="L165" s="8">
        <f t="shared" si="77"/>
        <v>0</v>
      </c>
      <c r="M165" s="8">
        <f t="shared" si="77"/>
        <v>0</v>
      </c>
      <c r="N165" s="8">
        <f t="shared" si="77"/>
        <v>0</v>
      </c>
      <c r="O165" s="8">
        <f t="shared" si="77"/>
        <v>0</v>
      </c>
      <c r="P165" s="8">
        <f t="shared" si="77"/>
        <v>0</v>
      </c>
      <c r="Q165" s="8">
        <f t="shared" si="77"/>
        <v>0</v>
      </c>
      <c r="R165" s="8">
        <f t="shared" si="75"/>
        <v>0</v>
      </c>
      <c r="S165" s="23">
        <f t="shared" si="76"/>
        <v>0</v>
      </c>
    </row>
    <row r="166" spans="1:19" s="24" customFormat="1" ht="16.5" customHeight="1">
      <c r="A166" s="74" t="s">
        <v>245</v>
      </c>
      <c r="B166" s="75"/>
      <c r="C166" s="87" t="s">
        <v>27</v>
      </c>
      <c r="D166" s="88"/>
      <c r="E166" s="88"/>
      <c r="F166" s="88"/>
      <c r="G166" s="89"/>
      <c r="H166" s="21" t="s">
        <v>23</v>
      </c>
      <c r="I166" s="22"/>
      <c r="J166" s="8"/>
      <c r="K166" s="8"/>
      <c r="L166" s="8"/>
      <c r="M166" s="8"/>
      <c r="N166" s="8"/>
      <c r="O166" s="8"/>
      <c r="P166" s="8"/>
      <c r="Q166" s="8"/>
      <c r="R166" s="8">
        <f t="shared" si="75"/>
        <v>0</v>
      </c>
      <c r="S166" s="23">
        <f t="shared" si="76"/>
        <v>0</v>
      </c>
    </row>
    <row r="167" spans="1:19" s="24" customFormat="1" ht="16.5" customHeight="1">
      <c r="A167" s="74" t="s">
        <v>246</v>
      </c>
      <c r="B167" s="75"/>
      <c r="C167" s="87" t="s">
        <v>29</v>
      </c>
      <c r="D167" s="88"/>
      <c r="E167" s="88"/>
      <c r="F167" s="88"/>
      <c r="G167" s="89"/>
      <c r="H167" s="21" t="s">
        <v>23</v>
      </c>
      <c r="I167" s="22"/>
      <c r="J167" s="8"/>
      <c r="K167" s="8"/>
      <c r="L167" s="8"/>
      <c r="M167" s="8"/>
      <c r="N167" s="8"/>
      <c r="O167" s="8"/>
      <c r="P167" s="8"/>
      <c r="Q167" s="8"/>
      <c r="R167" s="8">
        <f t="shared" si="75"/>
        <v>0</v>
      </c>
      <c r="S167" s="23">
        <f t="shared" si="76"/>
        <v>0</v>
      </c>
    </row>
    <row r="168" spans="1:19" s="24" customFormat="1" ht="16.5" customHeight="1">
      <c r="A168" s="74" t="s">
        <v>247</v>
      </c>
      <c r="B168" s="75"/>
      <c r="C168" s="87" t="s">
        <v>31</v>
      </c>
      <c r="D168" s="88"/>
      <c r="E168" s="88"/>
      <c r="F168" s="88"/>
      <c r="G168" s="89"/>
      <c r="H168" s="21" t="s">
        <v>23</v>
      </c>
      <c r="I168" s="22"/>
      <c r="J168" s="8"/>
      <c r="K168" s="8"/>
      <c r="L168" s="8"/>
      <c r="M168" s="8"/>
      <c r="N168" s="8"/>
      <c r="O168" s="8"/>
      <c r="P168" s="8"/>
      <c r="Q168" s="8"/>
      <c r="R168" s="8">
        <f t="shared" si="75"/>
        <v>0</v>
      </c>
      <c r="S168" s="23">
        <f t="shared" si="76"/>
        <v>0</v>
      </c>
    </row>
    <row r="169" spans="1:19" s="24" customFormat="1" ht="8.1" customHeight="1">
      <c r="A169" s="74" t="s">
        <v>248</v>
      </c>
      <c r="B169" s="75"/>
      <c r="C169" s="90" t="s">
        <v>33</v>
      </c>
      <c r="D169" s="91"/>
      <c r="E169" s="91"/>
      <c r="F169" s="91"/>
      <c r="G169" s="92"/>
      <c r="H169" s="21" t="s">
        <v>23</v>
      </c>
      <c r="I169" s="22"/>
      <c r="J169" s="8"/>
      <c r="K169" s="8"/>
      <c r="L169" s="8"/>
      <c r="M169" s="8"/>
      <c r="N169" s="8"/>
      <c r="O169" s="8"/>
      <c r="P169" s="8"/>
      <c r="Q169" s="8"/>
      <c r="R169" s="8">
        <f t="shared" si="75"/>
        <v>0</v>
      </c>
      <c r="S169" s="23">
        <f t="shared" si="76"/>
        <v>0</v>
      </c>
    </row>
    <row r="170" spans="1:19" s="24" customFormat="1" ht="8.1" customHeight="1">
      <c r="A170" s="74" t="s">
        <v>249</v>
      </c>
      <c r="B170" s="75"/>
      <c r="C170" s="90" t="s">
        <v>35</v>
      </c>
      <c r="D170" s="91"/>
      <c r="E170" s="91"/>
      <c r="F170" s="91"/>
      <c r="G170" s="92"/>
      <c r="H170" s="21" t="s">
        <v>23</v>
      </c>
      <c r="I170" s="22"/>
      <c r="J170" s="8"/>
      <c r="K170" s="8"/>
      <c r="L170" s="8"/>
      <c r="M170" s="8"/>
      <c r="N170" s="8"/>
      <c r="O170" s="8"/>
      <c r="P170" s="8"/>
      <c r="Q170" s="8"/>
      <c r="R170" s="8">
        <f t="shared" si="75"/>
        <v>0</v>
      </c>
      <c r="S170" s="23">
        <f t="shared" si="76"/>
        <v>0</v>
      </c>
    </row>
    <row r="171" spans="1:19" s="24" customFormat="1" ht="8.1" customHeight="1">
      <c r="A171" s="74" t="s">
        <v>250</v>
      </c>
      <c r="B171" s="75"/>
      <c r="C171" s="90" t="s">
        <v>37</v>
      </c>
      <c r="D171" s="91"/>
      <c r="E171" s="91"/>
      <c r="F171" s="91"/>
      <c r="G171" s="92"/>
      <c r="H171" s="21" t="s">
        <v>23</v>
      </c>
      <c r="I171" s="22"/>
      <c r="J171" s="8"/>
      <c r="K171" s="8"/>
      <c r="L171" s="8"/>
      <c r="M171" s="8"/>
      <c r="N171" s="8"/>
      <c r="O171" s="8"/>
      <c r="P171" s="8"/>
      <c r="Q171" s="8"/>
      <c r="R171" s="8">
        <f t="shared" si="75"/>
        <v>0</v>
      </c>
      <c r="S171" s="23">
        <f t="shared" si="76"/>
        <v>0</v>
      </c>
    </row>
    <row r="172" spans="1:19" s="24" customFormat="1" ht="8.1" customHeight="1">
      <c r="A172" s="74" t="s">
        <v>251</v>
      </c>
      <c r="B172" s="75"/>
      <c r="C172" s="90" t="s">
        <v>39</v>
      </c>
      <c r="D172" s="91"/>
      <c r="E172" s="91"/>
      <c r="F172" s="91"/>
      <c r="G172" s="92"/>
      <c r="H172" s="21" t="s">
        <v>23</v>
      </c>
      <c r="I172" s="22"/>
      <c r="J172" s="8"/>
      <c r="K172" s="8"/>
      <c r="L172" s="8"/>
      <c r="M172" s="8"/>
      <c r="N172" s="8"/>
      <c r="O172" s="8"/>
      <c r="P172" s="8"/>
      <c r="Q172" s="8"/>
      <c r="R172" s="8">
        <f t="shared" si="75"/>
        <v>0</v>
      </c>
      <c r="S172" s="23">
        <f t="shared" si="76"/>
        <v>0</v>
      </c>
    </row>
    <row r="173" spans="1:19" s="24" customFormat="1" ht="8.1" customHeight="1">
      <c r="A173" s="74" t="s">
        <v>252</v>
      </c>
      <c r="B173" s="75"/>
      <c r="C173" s="90" t="s">
        <v>41</v>
      </c>
      <c r="D173" s="91"/>
      <c r="E173" s="91"/>
      <c r="F173" s="91"/>
      <c r="G173" s="92"/>
      <c r="H173" s="21" t="s">
        <v>23</v>
      </c>
      <c r="I173" s="22">
        <f>10881607.0009369/1000-I181</f>
        <v>10870.2861656269</v>
      </c>
      <c r="J173" s="8">
        <f>9286820.54737431/1000-J181</f>
        <v>9285.68645088431</v>
      </c>
      <c r="K173" s="8">
        <v>8036.13</v>
      </c>
      <c r="L173" s="8">
        <v>8850.6183999999994</v>
      </c>
      <c r="M173" s="8">
        <v>2790.518</v>
      </c>
      <c r="N173" s="8">
        <v>9204.6431359999988</v>
      </c>
      <c r="O173" s="8"/>
      <c r="P173" s="8">
        <v>9572.8288614399989</v>
      </c>
      <c r="Q173" s="8"/>
      <c r="R173" s="8">
        <f t="shared" si="75"/>
        <v>55820.193013951204</v>
      </c>
      <c r="S173" s="23">
        <f t="shared" si="76"/>
        <v>2790.518</v>
      </c>
    </row>
    <row r="174" spans="1:19" s="24" customFormat="1" ht="8.1" customHeight="1">
      <c r="A174" s="74" t="s">
        <v>253</v>
      </c>
      <c r="B174" s="75"/>
      <c r="C174" s="90" t="s">
        <v>43</v>
      </c>
      <c r="D174" s="91"/>
      <c r="E174" s="91"/>
      <c r="F174" s="91"/>
      <c r="G174" s="92"/>
      <c r="H174" s="21" t="s">
        <v>23</v>
      </c>
      <c r="I174" s="22"/>
      <c r="J174" s="8"/>
      <c r="K174" s="8"/>
      <c r="L174" s="8"/>
      <c r="M174" s="8"/>
      <c r="N174" s="8"/>
      <c r="O174" s="8"/>
      <c r="P174" s="8"/>
      <c r="Q174" s="8"/>
      <c r="R174" s="8">
        <f t="shared" si="75"/>
        <v>0</v>
      </c>
      <c r="S174" s="23">
        <f t="shared" si="76"/>
        <v>0</v>
      </c>
    </row>
    <row r="175" spans="1:19" s="24" customFormat="1" ht="16.5" customHeight="1">
      <c r="A175" s="74" t="s">
        <v>254</v>
      </c>
      <c r="B175" s="75"/>
      <c r="C175" s="90" t="s">
        <v>45</v>
      </c>
      <c r="D175" s="91"/>
      <c r="E175" s="91"/>
      <c r="F175" s="91"/>
      <c r="G175" s="92"/>
      <c r="H175" s="21" t="s">
        <v>23</v>
      </c>
      <c r="I175" s="22">
        <f t="shared" ref="I175:Q175" si="78">I176+I177</f>
        <v>0</v>
      </c>
      <c r="J175" s="8">
        <f t="shared" si="78"/>
        <v>0</v>
      </c>
      <c r="K175" s="8">
        <f t="shared" si="78"/>
        <v>0</v>
      </c>
      <c r="L175" s="8">
        <f t="shared" si="78"/>
        <v>0</v>
      </c>
      <c r="M175" s="8">
        <f t="shared" si="78"/>
        <v>0</v>
      </c>
      <c r="N175" s="8">
        <f t="shared" si="78"/>
        <v>0</v>
      </c>
      <c r="O175" s="8">
        <f t="shared" si="78"/>
        <v>0</v>
      </c>
      <c r="P175" s="8">
        <f t="shared" si="78"/>
        <v>0</v>
      </c>
      <c r="Q175" s="8">
        <f t="shared" si="78"/>
        <v>0</v>
      </c>
      <c r="R175" s="8">
        <f t="shared" si="75"/>
        <v>0</v>
      </c>
      <c r="S175" s="23">
        <f t="shared" si="76"/>
        <v>0</v>
      </c>
    </row>
    <row r="176" spans="1:19" s="24" customFormat="1" ht="8.1" customHeight="1">
      <c r="A176" s="74" t="s">
        <v>255</v>
      </c>
      <c r="B176" s="75"/>
      <c r="C176" s="87" t="s">
        <v>47</v>
      </c>
      <c r="D176" s="88"/>
      <c r="E176" s="88"/>
      <c r="F176" s="88"/>
      <c r="G176" s="89"/>
      <c r="H176" s="21" t="s">
        <v>23</v>
      </c>
      <c r="I176" s="22"/>
      <c r="J176" s="8"/>
      <c r="K176" s="8"/>
      <c r="L176" s="8"/>
      <c r="M176" s="8"/>
      <c r="N176" s="8"/>
      <c r="O176" s="8"/>
      <c r="P176" s="8"/>
      <c r="Q176" s="8"/>
      <c r="R176" s="8">
        <f t="shared" si="75"/>
        <v>0</v>
      </c>
      <c r="S176" s="23">
        <f t="shared" si="76"/>
        <v>0</v>
      </c>
    </row>
    <row r="177" spans="1:19" s="24" customFormat="1" ht="8.1" customHeight="1">
      <c r="A177" s="74" t="s">
        <v>256</v>
      </c>
      <c r="B177" s="75"/>
      <c r="C177" s="87" t="s">
        <v>49</v>
      </c>
      <c r="D177" s="88"/>
      <c r="E177" s="88"/>
      <c r="F177" s="88"/>
      <c r="G177" s="89"/>
      <c r="H177" s="21" t="s">
        <v>23</v>
      </c>
      <c r="I177" s="22"/>
      <c r="J177" s="8"/>
      <c r="K177" s="8"/>
      <c r="L177" s="8"/>
      <c r="M177" s="8"/>
      <c r="N177" s="8"/>
      <c r="O177" s="8"/>
      <c r="P177" s="8"/>
      <c r="Q177" s="8"/>
      <c r="R177" s="8">
        <f t="shared" si="75"/>
        <v>0</v>
      </c>
      <c r="S177" s="23">
        <f t="shared" si="76"/>
        <v>0</v>
      </c>
    </row>
    <row r="178" spans="1:19" s="24" customFormat="1" ht="16.5" customHeight="1">
      <c r="A178" s="74" t="s">
        <v>257</v>
      </c>
      <c r="B178" s="75"/>
      <c r="C178" s="90" t="s">
        <v>258</v>
      </c>
      <c r="D178" s="91"/>
      <c r="E178" s="91"/>
      <c r="F178" s="91"/>
      <c r="G178" s="92"/>
      <c r="H178" s="21" t="s">
        <v>23</v>
      </c>
      <c r="I178" s="22">
        <f t="shared" ref="I178:Q178" si="79">I179+I180</f>
        <v>0</v>
      </c>
      <c r="J178" s="8">
        <f t="shared" si="79"/>
        <v>0</v>
      </c>
      <c r="K178" s="8">
        <f t="shared" si="79"/>
        <v>0</v>
      </c>
      <c r="L178" s="8">
        <f t="shared" si="79"/>
        <v>0</v>
      </c>
      <c r="M178" s="8">
        <f t="shared" si="79"/>
        <v>0</v>
      </c>
      <c r="N178" s="8">
        <f t="shared" si="79"/>
        <v>0</v>
      </c>
      <c r="O178" s="8">
        <f t="shared" si="79"/>
        <v>0</v>
      </c>
      <c r="P178" s="8">
        <f t="shared" si="79"/>
        <v>0</v>
      </c>
      <c r="Q178" s="8">
        <f t="shared" si="79"/>
        <v>0</v>
      </c>
      <c r="R178" s="8">
        <f t="shared" si="75"/>
        <v>0</v>
      </c>
      <c r="S178" s="23">
        <f t="shared" si="76"/>
        <v>0</v>
      </c>
    </row>
    <row r="179" spans="1:19" s="24" customFormat="1" ht="8.1" customHeight="1">
      <c r="A179" s="74" t="s">
        <v>259</v>
      </c>
      <c r="B179" s="75"/>
      <c r="C179" s="87" t="s">
        <v>260</v>
      </c>
      <c r="D179" s="88"/>
      <c r="E179" s="88"/>
      <c r="F179" s="88"/>
      <c r="G179" s="89"/>
      <c r="H179" s="21" t="s">
        <v>23</v>
      </c>
      <c r="I179" s="22"/>
      <c r="J179" s="8"/>
      <c r="K179" s="8"/>
      <c r="L179" s="8"/>
      <c r="M179" s="8"/>
      <c r="N179" s="8"/>
      <c r="O179" s="8"/>
      <c r="P179" s="8"/>
      <c r="Q179" s="8"/>
      <c r="R179" s="8">
        <f t="shared" si="75"/>
        <v>0</v>
      </c>
      <c r="S179" s="23">
        <f t="shared" si="76"/>
        <v>0</v>
      </c>
    </row>
    <row r="180" spans="1:19" s="24" customFormat="1" ht="8.1" customHeight="1">
      <c r="A180" s="74" t="s">
        <v>261</v>
      </c>
      <c r="B180" s="75"/>
      <c r="C180" s="87" t="s">
        <v>262</v>
      </c>
      <c r="D180" s="88"/>
      <c r="E180" s="88"/>
      <c r="F180" s="88"/>
      <c r="G180" s="89"/>
      <c r="H180" s="21" t="s">
        <v>23</v>
      </c>
      <c r="I180" s="22"/>
      <c r="J180" s="8"/>
      <c r="K180" s="8"/>
      <c r="L180" s="8"/>
      <c r="M180" s="8"/>
      <c r="N180" s="8"/>
      <c r="O180" s="8"/>
      <c r="P180" s="8"/>
      <c r="Q180" s="8"/>
      <c r="R180" s="8">
        <f t="shared" si="75"/>
        <v>0</v>
      </c>
      <c r="S180" s="23">
        <f t="shared" si="76"/>
        <v>0</v>
      </c>
    </row>
    <row r="181" spans="1:19" s="24" customFormat="1" ht="8.1" customHeight="1">
      <c r="A181" s="74" t="s">
        <v>263</v>
      </c>
      <c r="B181" s="75"/>
      <c r="C181" s="90" t="s">
        <v>51</v>
      </c>
      <c r="D181" s="91"/>
      <c r="E181" s="91"/>
      <c r="F181" s="91"/>
      <c r="G181" s="92"/>
      <c r="H181" s="21" t="s">
        <v>23</v>
      </c>
      <c r="I181" s="22">
        <f>11320.83531/1000</f>
        <v>11.32083531</v>
      </c>
      <c r="J181" s="8">
        <f>1134.09649/1000</f>
        <v>1.1340964899999999</v>
      </c>
      <c r="K181" s="8">
        <v>96.513999999999996</v>
      </c>
      <c r="L181" s="8">
        <v>75.531040000000004</v>
      </c>
      <c r="M181" s="8">
        <v>23.06</v>
      </c>
      <c r="N181" s="8">
        <v>78.552281600000001</v>
      </c>
      <c r="O181" s="8"/>
      <c r="P181" s="8">
        <v>81.694372864000002</v>
      </c>
      <c r="Q181" s="8"/>
      <c r="R181" s="8">
        <f t="shared" si="75"/>
        <v>344.74662626399999</v>
      </c>
      <c r="S181" s="23">
        <f t="shared" si="76"/>
        <v>23.06</v>
      </c>
    </row>
    <row r="182" spans="1:19" s="24" customFormat="1" ht="9" customHeight="1">
      <c r="A182" s="74" t="s">
        <v>264</v>
      </c>
      <c r="B182" s="75"/>
      <c r="C182" s="93" t="s">
        <v>265</v>
      </c>
      <c r="D182" s="94"/>
      <c r="E182" s="94"/>
      <c r="F182" s="94"/>
      <c r="G182" s="95"/>
      <c r="H182" s="21" t="s">
        <v>23</v>
      </c>
      <c r="I182" s="22">
        <f t="shared" ref="I182:Q182" si="80">I183+I184+I188+I189+I190+I191+I192+I193+I195+I196+I197+I198+I199</f>
        <v>11047.569719720101</v>
      </c>
      <c r="J182" s="8">
        <f t="shared" si="80"/>
        <v>9436.5174075872164</v>
      </c>
      <c r="K182" s="8">
        <f t="shared" si="80"/>
        <v>8506.9502130776818</v>
      </c>
      <c r="L182" s="8">
        <f t="shared" si="80"/>
        <v>8789.924221600786</v>
      </c>
      <c r="M182" s="8">
        <f t="shared" si="80"/>
        <v>2560.7779999999998</v>
      </c>
      <c r="N182" s="8">
        <f t="shared" si="80"/>
        <v>9141.5211904648204</v>
      </c>
      <c r="O182" s="8">
        <f t="shared" si="80"/>
        <v>0</v>
      </c>
      <c r="P182" s="8">
        <f t="shared" si="80"/>
        <v>9507.1820380834124</v>
      </c>
      <c r="Q182" s="8">
        <f t="shared" si="80"/>
        <v>0</v>
      </c>
      <c r="R182" s="8">
        <f t="shared" si="75"/>
        <v>56429.664790534021</v>
      </c>
      <c r="S182" s="23">
        <f t="shared" si="76"/>
        <v>2560.7779999999998</v>
      </c>
    </row>
    <row r="183" spans="1:19" s="24" customFormat="1" ht="8.1" customHeight="1">
      <c r="A183" s="74" t="s">
        <v>266</v>
      </c>
      <c r="B183" s="75"/>
      <c r="C183" s="90" t="s">
        <v>267</v>
      </c>
      <c r="D183" s="91"/>
      <c r="E183" s="91"/>
      <c r="F183" s="91"/>
      <c r="G183" s="92"/>
      <c r="H183" s="21" t="s">
        <v>23</v>
      </c>
      <c r="I183" s="22"/>
      <c r="J183" s="8"/>
      <c r="K183" s="8"/>
      <c r="L183" s="8"/>
      <c r="M183" s="8"/>
      <c r="N183" s="8"/>
      <c r="O183" s="8"/>
      <c r="P183" s="8"/>
      <c r="Q183" s="8"/>
      <c r="R183" s="8">
        <f t="shared" si="75"/>
        <v>0</v>
      </c>
      <c r="S183" s="23">
        <f t="shared" si="76"/>
        <v>0</v>
      </c>
    </row>
    <row r="184" spans="1:19" s="24" customFormat="1" ht="8.1" customHeight="1">
      <c r="A184" s="74" t="s">
        <v>268</v>
      </c>
      <c r="B184" s="75"/>
      <c r="C184" s="90" t="s">
        <v>269</v>
      </c>
      <c r="D184" s="91"/>
      <c r="E184" s="91"/>
      <c r="F184" s="91"/>
      <c r="G184" s="92"/>
      <c r="H184" s="21" t="s">
        <v>23</v>
      </c>
      <c r="I184" s="22">
        <f t="shared" ref="I184:Q184" si="81">I185+I186+I187</f>
        <v>6217.4563887075492</v>
      </c>
      <c r="J184" s="8">
        <f t="shared" si="81"/>
        <v>4315.8548863368806</v>
      </c>
      <c r="K184" s="8">
        <f t="shared" si="81"/>
        <v>3232.73</v>
      </c>
      <c r="L184" s="8">
        <f t="shared" si="81"/>
        <v>3380.1111599711044</v>
      </c>
      <c r="M184" s="8">
        <f t="shared" si="81"/>
        <v>1163.328</v>
      </c>
      <c r="N184" s="8">
        <f t="shared" si="81"/>
        <v>3515.3156063699485</v>
      </c>
      <c r="O184" s="8">
        <f t="shared" si="81"/>
        <v>0</v>
      </c>
      <c r="P184" s="8">
        <f t="shared" si="81"/>
        <v>3655.9282306247464</v>
      </c>
      <c r="Q184" s="8">
        <f t="shared" si="81"/>
        <v>0</v>
      </c>
      <c r="R184" s="8">
        <f t="shared" si="75"/>
        <v>24317.396272010232</v>
      </c>
      <c r="S184" s="23">
        <f t="shared" si="76"/>
        <v>1163.328</v>
      </c>
    </row>
    <row r="185" spans="1:19" s="24" customFormat="1" ht="8.1" customHeight="1">
      <c r="A185" s="74" t="s">
        <v>270</v>
      </c>
      <c r="B185" s="75"/>
      <c r="C185" s="87" t="s">
        <v>271</v>
      </c>
      <c r="D185" s="88"/>
      <c r="E185" s="88"/>
      <c r="F185" s="88"/>
      <c r="G185" s="89"/>
      <c r="H185" s="21" t="s">
        <v>23</v>
      </c>
      <c r="I185" s="22">
        <f>6175319.00178103/1000</f>
        <v>6175.3190017810293</v>
      </c>
      <c r="J185" s="8">
        <f>4281150.5208284/1000</f>
        <v>4281.1505208283997</v>
      </c>
      <c r="K185" s="8">
        <v>3209.2649999999999</v>
      </c>
      <c r="L185" s="8">
        <v>3355.3371392815043</v>
      </c>
      <c r="M185" s="8">
        <v>1155.3599999999999</v>
      </c>
      <c r="N185" s="8">
        <v>3489.5506248527645</v>
      </c>
      <c r="O185" s="8"/>
      <c r="P185" s="8">
        <v>3629.1326498468752</v>
      </c>
      <c r="Q185" s="8"/>
      <c r="R185" s="8">
        <f t="shared" si="75"/>
        <v>24139.754936590572</v>
      </c>
      <c r="S185" s="23">
        <f t="shared" si="76"/>
        <v>1155.3599999999999</v>
      </c>
    </row>
    <row r="186" spans="1:19" s="24" customFormat="1" ht="8.1" customHeight="1">
      <c r="A186" s="74" t="s">
        <v>272</v>
      </c>
      <c r="B186" s="75"/>
      <c r="C186" s="87" t="s">
        <v>273</v>
      </c>
      <c r="D186" s="88"/>
      <c r="E186" s="88"/>
      <c r="F186" s="88"/>
      <c r="G186" s="89"/>
      <c r="H186" s="21" t="s">
        <v>23</v>
      </c>
      <c r="I186" s="22">
        <f>42137.3869265202/1000</f>
        <v>42.1373869265202</v>
      </c>
      <c r="J186" s="8">
        <f>34704.3655084806/1000</f>
        <v>34.704365508480599</v>
      </c>
      <c r="K186" s="8">
        <v>23.465</v>
      </c>
      <c r="L186" s="8">
        <v>24.774020689599897</v>
      </c>
      <c r="M186" s="8">
        <v>7.968</v>
      </c>
      <c r="N186" s="8">
        <v>25.764981517183895</v>
      </c>
      <c r="O186" s="8"/>
      <c r="P186" s="8">
        <v>26.795580777871251</v>
      </c>
      <c r="Q186" s="8"/>
      <c r="R186" s="8">
        <f t="shared" si="75"/>
        <v>177.64133541965583</v>
      </c>
      <c r="S186" s="23">
        <f t="shared" si="76"/>
        <v>7.968</v>
      </c>
    </row>
    <row r="187" spans="1:19" s="24" customFormat="1" ht="8.1" customHeight="1">
      <c r="A187" s="74" t="s">
        <v>274</v>
      </c>
      <c r="B187" s="75"/>
      <c r="C187" s="87" t="s">
        <v>275</v>
      </c>
      <c r="D187" s="88"/>
      <c r="E187" s="88"/>
      <c r="F187" s="88"/>
      <c r="G187" s="89"/>
      <c r="H187" s="21" t="s">
        <v>23</v>
      </c>
      <c r="I187" s="22"/>
      <c r="J187" s="8"/>
      <c r="K187" s="8"/>
      <c r="L187" s="8"/>
      <c r="M187" s="8"/>
      <c r="N187" s="8"/>
      <c r="O187" s="8"/>
      <c r="P187" s="8"/>
      <c r="Q187" s="8"/>
      <c r="R187" s="8">
        <f t="shared" si="75"/>
        <v>0</v>
      </c>
      <c r="S187" s="23">
        <f t="shared" si="76"/>
        <v>0</v>
      </c>
    </row>
    <row r="188" spans="1:19" s="24" customFormat="1" ht="16.5" customHeight="1">
      <c r="A188" s="74" t="s">
        <v>276</v>
      </c>
      <c r="B188" s="75"/>
      <c r="C188" s="90" t="s">
        <v>277</v>
      </c>
      <c r="D188" s="91"/>
      <c r="E188" s="91"/>
      <c r="F188" s="91"/>
      <c r="G188" s="92"/>
      <c r="H188" s="21" t="s">
        <v>23</v>
      </c>
      <c r="I188" s="22"/>
      <c r="J188" s="8"/>
      <c r="K188" s="8"/>
      <c r="L188" s="8"/>
      <c r="M188" s="8"/>
      <c r="N188" s="8"/>
      <c r="O188" s="8"/>
      <c r="P188" s="8"/>
      <c r="Q188" s="8"/>
      <c r="R188" s="8">
        <f t="shared" si="75"/>
        <v>0</v>
      </c>
      <c r="S188" s="23">
        <f t="shared" si="76"/>
        <v>0</v>
      </c>
    </row>
    <row r="189" spans="1:19" s="24" customFormat="1" ht="16.5" customHeight="1">
      <c r="A189" s="74" t="s">
        <v>278</v>
      </c>
      <c r="B189" s="75"/>
      <c r="C189" s="90" t="s">
        <v>279</v>
      </c>
      <c r="D189" s="91"/>
      <c r="E189" s="91"/>
      <c r="F189" s="91"/>
      <c r="G189" s="92"/>
      <c r="H189" s="21" t="s">
        <v>23</v>
      </c>
      <c r="I189" s="22">
        <f>4140542.56311/1000</f>
        <v>4140.5425631099997</v>
      </c>
      <c r="J189" s="8">
        <f>4112959.49099/1000</f>
        <v>4112.9594909899997</v>
      </c>
      <c r="K189" s="8">
        <v>4384.0829999999996</v>
      </c>
      <c r="L189" s="8">
        <v>4577.6013697769577</v>
      </c>
      <c r="M189" s="8">
        <v>1168.4570000000001</v>
      </c>
      <c r="N189" s="8">
        <v>4760.7054245680365</v>
      </c>
      <c r="O189" s="8"/>
      <c r="P189" s="8">
        <v>4951.1336415507585</v>
      </c>
      <c r="Q189" s="8"/>
      <c r="R189" s="8">
        <f t="shared" si="75"/>
        <v>26927.025489995751</v>
      </c>
      <c r="S189" s="23">
        <f t="shared" si="76"/>
        <v>1168.4570000000001</v>
      </c>
    </row>
    <row r="190" spans="1:19" s="24" customFormat="1" ht="8.1" customHeight="1">
      <c r="A190" s="74" t="s">
        <v>280</v>
      </c>
      <c r="B190" s="75"/>
      <c r="C190" s="90" t="s">
        <v>281</v>
      </c>
      <c r="D190" s="91"/>
      <c r="E190" s="91"/>
      <c r="F190" s="91"/>
      <c r="G190" s="92"/>
      <c r="H190" s="21" t="s">
        <v>23</v>
      </c>
      <c r="I190" s="22"/>
      <c r="J190" s="8"/>
      <c r="K190" s="8"/>
      <c r="L190" s="8"/>
      <c r="M190" s="8"/>
      <c r="N190" s="8"/>
      <c r="O190" s="8"/>
      <c r="P190" s="8"/>
      <c r="Q190" s="8"/>
      <c r="R190" s="8">
        <f t="shared" si="75"/>
        <v>0</v>
      </c>
      <c r="S190" s="23">
        <f t="shared" si="76"/>
        <v>0</v>
      </c>
    </row>
    <row r="191" spans="1:19" s="24" customFormat="1" ht="8.1" customHeight="1">
      <c r="A191" s="74" t="s">
        <v>282</v>
      </c>
      <c r="B191" s="75"/>
      <c r="C191" s="90" t="s">
        <v>283</v>
      </c>
      <c r="D191" s="91"/>
      <c r="E191" s="91"/>
      <c r="F191" s="91"/>
      <c r="G191" s="92"/>
      <c r="H191" s="21" t="s">
        <v>23</v>
      </c>
      <c r="I191" s="22">
        <f>238848.22039/1000</f>
        <v>238.84822038999999</v>
      </c>
      <c r="J191" s="8">
        <f>244487.11873/1000</f>
        <v>244.48711872999999</v>
      </c>
      <c r="K191" s="8">
        <v>332.88600000000002</v>
      </c>
      <c r="L191" s="8">
        <v>350.24095275912083</v>
      </c>
      <c r="M191" s="8">
        <v>78.451999999999998</v>
      </c>
      <c r="N191" s="8">
        <v>364.25059086948568</v>
      </c>
      <c r="O191" s="8"/>
      <c r="P191" s="8">
        <v>378.82061450426511</v>
      </c>
      <c r="Q191" s="8"/>
      <c r="R191" s="8">
        <f t="shared" si="75"/>
        <v>1909.5334972528717</v>
      </c>
      <c r="S191" s="23">
        <f t="shared" si="76"/>
        <v>78.451999999999998</v>
      </c>
    </row>
    <row r="192" spans="1:19" s="24" customFormat="1" ht="8.1" customHeight="1">
      <c r="A192" s="74" t="s">
        <v>284</v>
      </c>
      <c r="B192" s="75"/>
      <c r="C192" s="90" t="s">
        <v>285</v>
      </c>
      <c r="D192" s="91"/>
      <c r="E192" s="91"/>
      <c r="F192" s="91"/>
      <c r="G192" s="92"/>
      <c r="H192" s="21" t="s">
        <v>23</v>
      </c>
      <c r="I192" s="22">
        <f>69158.11993/1000</f>
        <v>69.158119929999998</v>
      </c>
      <c r="J192" s="8">
        <f>76472.60928/1000</f>
        <v>76.47260928</v>
      </c>
      <c r="K192" s="8">
        <v>81.501999999999995</v>
      </c>
      <c r="L192" s="8">
        <v>114.03816120580208</v>
      </c>
      <c r="M192" s="8">
        <v>21.295999999999999</v>
      </c>
      <c r="N192" s="8">
        <v>118.59968765403417</v>
      </c>
      <c r="O192" s="8"/>
      <c r="P192" s="8">
        <v>123.34367516019555</v>
      </c>
      <c r="Q192" s="8"/>
      <c r="R192" s="8">
        <f t="shared" si="75"/>
        <v>583.11425323003175</v>
      </c>
      <c r="S192" s="23">
        <f t="shared" si="76"/>
        <v>21.295999999999999</v>
      </c>
    </row>
    <row r="193" spans="1:19" s="24" customFormat="1" ht="8.1" customHeight="1">
      <c r="A193" s="74" t="s">
        <v>286</v>
      </c>
      <c r="B193" s="75"/>
      <c r="C193" s="90" t="s">
        <v>287</v>
      </c>
      <c r="D193" s="91"/>
      <c r="E193" s="91"/>
      <c r="F193" s="91"/>
      <c r="G193" s="92"/>
      <c r="H193" s="21" t="s">
        <v>23</v>
      </c>
      <c r="I193" s="22">
        <f>32792.13059/1000+56496.65733/1000</f>
        <v>89.288787920000004</v>
      </c>
      <c r="J193" s="8">
        <f>163.389</f>
        <v>163.38900000000001</v>
      </c>
      <c r="K193" s="8">
        <v>40.658000000000001</v>
      </c>
      <c r="L193" s="8">
        <v>87.138480000000015</v>
      </c>
      <c r="M193" s="8">
        <v>23.132999999999999</v>
      </c>
      <c r="N193" s="8">
        <v>90.624019200000021</v>
      </c>
      <c r="O193" s="8"/>
      <c r="P193" s="8">
        <v>94.248979968000029</v>
      </c>
      <c r="Q193" s="8"/>
      <c r="R193" s="8">
        <f t="shared" si="75"/>
        <v>565.34726708800008</v>
      </c>
      <c r="S193" s="23">
        <f t="shared" si="76"/>
        <v>23.132999999999999</v>
      </c>
    </row>
    <row r="194" spans="1:19" s="24" customFormat="1" ht="8.1" customHeight="1">
      <c r="A194" s="74" t="s">
        <v>288</v>
      </c>
      <c r="B194" s="75"/>
      <c r="C194" s="87" t="s">
        <v>289</v>
      </c>
      <c r="D194" s="88"/>
      <c r="E194" s="88"/>
      <c r="F194" s="88"/>
      <c r="G194" s="89"/>
      <c r="H194" s="21" t="s">
        <v>23</v>
      </c>
      <c r="I194" s="22">
        <f>7430.282/1000</f>
        <v>7.4302820000000001</v>
      </c>
      <c r="J194" s="8">
        <v>0</v>
      </c>
      <c r="K194" s="8">
        <v>0</v>
      </c>
      <c r="L194" s="8">
        <v>0</v>
      </c>
      <c r="M194" s="8"/>
      <c r="N194" s="8">
        <v>0</v>
      </c>
      <c r="O194" s="8"/>
      <c r="P194" s="8">
        <v>0</v>
      </c>
      <c r="Q194" s="8"/>
      <c r="R194" s="8">
        <f t="shared" si="75"/>
        <v>7.4302820000000001</v>
      </c>
      <c r="S194" s="23">
        <f t="shared" si="76"/>
        <v>0</v>
      </c>
    </row>
    <row r="195" spans="1:19" s="24" customFormat="1" ht="8.1" customHeight="1">
      <c r="A195" s="74" t="s">
        <v>290</v>
      </c>
      <c r="B195" s="75"/>
      <c r="C195" s="90" t="s">
        <v>291</v>
      </c>
      <c r="D195" s="91"/>
      <c r="E195" s="91"/>
      <c r="F195" s="91"/>
      <c r="G195" s="92"/>
      <c r="H195" s="21" t="s">
        <v>23</v>
      </c>
      <c r="I195" s="22">
        <f>26201.31823/1000</f>
        <v>26.201318230000002</v>
      </c>
      <c r="J195" s="8">
        <f>26282.14623/1000</f>
        <v>26.282146229999999</v>
      </c>
      <c r="K195" s="8">
        <v>12.218999999999999</v>
      </c>
      <c r="L195" s="8">
        <v>25.79857622151254</v>
      </c>
      <c r="M195" s="8">
        <v>2.1859999999999999</v>
      </c>
      <c r="N195" s="8">
        <v>26.830519270373042</v>
      </c>
      <c r="O195" s="8"/>
      <c r="P195" s="8">
        <v>27.903740041187966</v>
      </c>
      <c r="Q195" s="8"/>
      <c r="R195" s="8">
        <f t="shared" si="75"/>
        <v>145.23529999307354</v>
      </c>
      <c r="S195" s="23">
        <f t="shared" si="76"/>
        <v>2.1859999999999999</v>
      </c>
    </row>
    <row r="196" spans="1:19" s="24" customFormat="1" ht="8.1" customHeight="1">
      <c r="A196" s="74" t="s">
        <v>292</v>
      </c>
      <c r="B196" s="75"/>
      <c r="C196" s="90" t="s">
        <v>293</v>
      </c>
      <c r="D196" s="91"/>
      <c r="E196" s="91"/>
      <c r="F196" s="91"/>
      <c r="G196" s="92"/>
      <c r="H196" s="21" t="s">
        <v>23</v>
      </c>
      <c r="I196" s="22">
        <f>30189.3610025534/1000</f>
        <v>30.189361002553401</v>
      </c>
      <c r="J196" s="8">
        <f>26929.1673703448/1000</f>
        <v>26.9291673703448</v>
      </c>
      <c r="K196" s="8">
        <v>25.771000000000001</v>
      </c>
      <c r="L196" s="8">
        <v>62.305429113707106</v>
      </c>
      <c r="M196" s="8">
        <v>9.4450000000000003</v>
      </c>
      <c r="N196" s="8">
        <v>64.797646278255399</v>
      </c>
      <c r="O196" s="8"/>
      <c r="P196" s="8">
        <v>67.389552129385621</v>
      </c>
      <c r="Q196" s="8"/>
      <c r="R196" s="8">
        <f t="shared" si="75"/>
        <v>277.3821558942463</v>
      </c>
      <c r="S196" s="23">
        <f t="shared" si="76"/>
        <v>9.4450000000000003</v>
      </c>
    </row>
    <row r="197" spans="1:19" s="24" customFormat="1" ht="8.1" customHeight="1">
      <c r="A197" s="74" t="s">
        <v>294</v>
      </c>
      <c r="B197" s="75"/>
      <c r="C197" s="90" t="s">
        <v>295</v>
      </c>
      <c r="D197" s="91"/>
      <c r="E197" s="91"/>
      <c r="F197" s="91"/>
      <c r="G197" s="92"/>
      <c r="H197" s="21" t="s">
        <v>23</v>
      </c>
      <c r="I197" s="22">
        <f>19826.26119/1000</f>
        <v>19.82626119</v>
      </c>
      <c r="J197" s="8">
        <f>18008.43952/1000</f>
        <v>18.00843952</v>
      </c>
      <c r="K197" s="8">
        <v>18.925000000000001</v>
      </c>
      <c r="L197" s="8">
        <v>29.884797997972839</v>
      </c>
      <c r="M197" s="8">
        <v>5.3410000000000002</v>
      </c>
      <c r="N197" s="8">
        <v>31.080189917891754</v>
      </c>
      <c r="O197" s="8"/>
      <c r="P197" s="8">
        <v>32.323397514607429</v>
      </c>
      <c r="Q197" s="8"/>
      <c r="R197" s="8">
        <f t="shared" si="75"/>
        <v>150.04808614047204</v>
      </c>
      <c r="S197" s="23">
        <f t="shared" si="76"/>
        <v>5.3410000000000002</v>
      </c>
    </row>
    <row r="198" spans="1:19" s="24" customFormat="1" ht="16.5" customHeight="1">
      <c r="A198" s="74" t="s">
        <v>296</v>
      </c>
      <c r="B198" s="75"/>
      <c r="C198" s="90" t="s">
        <v>297</v>
      </c>
      <c r="D198" s="91"/>
      <c r="E198" s="91"/>
      <c r="F198" s="91"/>
      <c r="G198" s="92"/>
      <c r="H198" s="21" t="s">
        <v>23</v>
      </c>
      <c r="I198" s="22"/>
      <c r="J198" s="8"/>
      <c r="K198" s="8"/>
      <c r="L198" s="8"/>
      <c r="M198" s="8"/>
      <c r="N198" s="8"/>
      <c r="O198" s="8"/>
      <c r="P198" s="8"/>
      <c r="Q198" s="8"/>
      <c r="R198" s="8">
        <f t="shared" si="75"/>
        <v>0</v>
      </c>
      <c r="S198" s="23">
        <f t="shared" si="76"/>
        <v>0</v>
      </c>
    </row>
    <row r="199" spans="1:19" s="24" customFormat="1" ht="8.1" customHeight="1">
      <c r="A199" s="74" t="s">
        <v>298</v>
      </c>
      <c r="B199" s="75"/>
      <c r="C199" s="90" t="s">
        <v>299</v>
      </c>
      <c r="D199" s="91"/>
      <c r="E199" s="91"/>
      <c r="F199" s="91"/>
      <c r="G199" s="92"/>
      <c r="H199" s="21" t="s">
        <v>23</v>
      </c>
      <c r="I199" s="22">
        <f>11047569.7197201/1000-I184-I189-I191-I192-I193-I195-I196-I197</f>
        <v>216.05869923999654</v>
      </c>
      <c r="J199" s="8">
        <f>9436517.40758722/1000-J184-J189-J191-J192-J193-J195-J196-J197</f>
        <v>452.13454912999487</v>
      </c>
      <c r="K199" s="8">
        <f>323.07621307768+55.1</f>
        <v>378.17621307768002</v>
      </c>
      <c r="L199" s="8">
        <v>162.80529455461027</v>
      </c>
      <c r="M199" s="8">
        <f>2560.778-2471.638</f>
        <v>89.139999999999873</v>
      </c>
      <c r="N199" s="8">
        <v>169.31750633679468</v>
      </c>
      <c r="O199" s="8"/>
      <c r="P199" s="8">
        <v>176.09020659026646</v>
      </c>
      <c r="Q199" s="8"/>
      <c r="R199" s="8">
        <f t="shared" si="75"/>
        <v>1554.5824689293427</v>
      </c>
      <c r="S199" s="23">
        <f t="shared" si="76"/>
        <v>89.139999999999873</v>
      </c>
    </row>
    <row r="200" spans="1:19" s="24" customFormat="1" ht="9" customHeight="1">
      <c r="A200" s="74" t="s">
        <v>300</v>
      </c>
      <c r="B200" s="75"/>
      <c r="C200" s="93" t="s">
        <v>301</v>
      </c>
      <c r="D200" s="94"/>
      <c r="E200" s="94"/>
      <c r="F200" s="94"/>
      <c r="G200" s="95"/>
      <c r="H200" s="21" t="s">
        <v>23</v>
      </c>
      <c r="I200" s="22">
        <f t="shared" ref="I200:Q200" si="82">I201+I202+I206</f>
        <v>0</v>
      </c>
      <c r="J200" s="8">
        <f t="shared" si="82"/>
        <v>0.11600000000000001</v>
      </c>
      <c r="K200" s="8">
        <f t="shared" si="82"/>
        <v>0</v>
      </c>
      <c r="L200" s="8">
        <f t="shared" si="82"/>
        <v>0</v>
      </c>
      <c r="M200" s="8">
        <f t="shared" si="82"/>
        <v>0</v>
      </c>
      <c r="N200" s="8">
        <f t="shared" si="82"/>
        <v>0</v>
      </c>
      <c r="O200" s="8">
        <f t="shared" si="82"/>
        <v>0</v>
      </c>
      <c r="P200" s="8">
        <f t="shared" si="82"/>
        <v>0</v>
      </c>
      <c r="Q200" s="8">
        <f t="shared" si="82"/>
        <v>0</v>
      </c>
      <c r="R200" s="8">
        <f t="shared" si="75"/>
        <v>0.11600000000000001</v>
      </c>
      <c r="S200" s="23">
        <f t="shared" si="76"/>
        <v>0</v>
      </c>
    </row>
    <row r="201" spans="1:19" s="24" customFormat="1" ht="8.1" customHeight="1">
      <c r="A201" s="74" t="s">
        <v>302</v>
      </c>
      <c r="B201" s="75"/>
      <c r="C201" s="90" t="s">
        <v>303</v>
      </c>
      <c r="D201" s="91"/>
      <c r="E201" s="91"/>
      <c r="F201" s="91"/>
      <c r="G201" s="92"/>
      <c r="H201" s="21" t="s">
        <v>23</v>
      </c>
      <c r="I201" s="22"/>
      <c r="J201" s="8">
        <f>116/1000</f>
        <v>0.11600000000000001</v>
      </c>
      <c r="K201" s="8"/>
      <c r="L201" s="8"/>
      <c r="M201" s="8"/>
      <c r="N201" s="8"/>
      <c r="O201" s="8"/>
      <c r="P201" s="8"/>
      <c r="Q201" s="8"/>
      <c r="R201" s="8">
        <f t="shared" si="75"/>
        <v>0.11600000000000001</v>
      </c>
      <c r="S201" s="23">
        <f t="shared" si="76"/>
        <v>0</v>
      </c>
    </row>
    <row r="202" spans="1:19" s="24" customFormat="1" ht="8.1" customHeight="1">
      <c r="A202" s="74" t="s">
        <v>304</v>
      </c>
      <c r="B202" s="75"/>
      <c r="C202" s="90" t="s">
        <v>305</v>
      </c>
      <c r="D202" s="91"/>
      <c r="E202" s="91"/>
      <c r="F202" s="91"/>
      <c r="G202" s="92"/>
      <c r="H202" s="21" t="s">
        <v>23</v>
      </c>
      <c r="I202" s="22"/>
      <c r="J202" s="8"/>
      <c r="K202" s="8"/>
      <c r="L202" s="8"/>
      <c r="M202" s="8"/>
      <c r="N202" s="8"/>
      <c r="O202" s="8"/>
      <c r="P202" s="8"/>
      <c r="Q202" s="8"/>
      <c r="R202" s="8">
        <f t="shared" si="75"/>
        <v>0</v>
      </c>
      <c r="S202" s="23">
        <f t="shared" si="76"/>
        <v>0</v>
      </c>
    </row>
    <row r="203" spans="1:19" s="24" customFormat="1" ht="16.5" customHeight="1">
      <c r="A203" s="74" t="s">
        <v>306</v>
      </c>
      <c r="B203" s="75"/>
      <c r="C203" s="87" t="s">
        <v>307</v>
      </c>
      <c r="D203" s="88"/>
      <c r="E203" s="88"/>
      <c r="F203" s="88"/>
      <c r="G203" s="89"/>
      <c r="H203" s="21" t="s">
        <v>23</v>
      </c>
      <c r="I203" s="22">
        <f t="shared" ref="I203:Q203" si="83">I204+I205</f>
        <v>0</v>
      </c>
      <c r="J203" s="8">
        <f t="shared" si="83"/>
        <v>0</v>
      </c>
      <c r="K203" s="8">
        <f t="shared" si="83"/>
        <v>0</v>
      </c>
      <c r="L203" s="8">
        <f t="shared" si="83"/>
        <v>0</v>
      </c>
      <c r="M203" s="8">
        <f t="shared" si="83"/>
        <v>0</v>
      </c>
      <c r="N203" s="8">
        <f t="shared" si="83"/>
        <v>0</v>
      </c>
      <c r="O203" s="8">
        <f t="shared" si="83"/>
        <v>0</v>
      </c>
      <c r="P203" s="8">
        <f t="shared" si="83"/>
        <v>0</v>
      </c>
      <c r="Q203" s="8">
        <f t="shared" si="83"/>
        <v>0</v>
      </c>
      <c r="R203" s="8">
        <f t="shared" si="75"/>
        <v>0</v>
      </c>
      <c r="S203" s="23">
        <f t="shared" si="76"/>
        <v>0</v>
      </c>
    </row>
    <row r="204" spans="1:19" s="24" customFormat="1" ht="8.1" customHeight="1">
      <c r="A204" s="74" t="s">
        <v>308</v>
      </c>
      <c r="B204" s="75"/>
      <c r="C204" s="78" t="s">
        <v>309</v>
      </c>
      <c r="D204" s="79"/>
      <c r="E204" s="79"/>
      <c r="F204" s="79"/>
      <c r="G204" s="80"/>
      <c r="H204" s="21" t="s">
        <v>23</v>
      </c>
      <c r="I204" s="22"/>
      <c r="J204" s="8"/>
      <c r="K204" s="8"/>
      <c r="L204" s="8"/>
      <c r="M204" s="8"/>
      <c r="N204" s="8"/>
      <c r="O204" s="8"/>
      <c r="P204" s="8"/>
      <c r="Q204" s="8"/>
      <c r="R204" s="8">
        <f t="shared" si="75"/>
        <v>0</v>
      </c>
      <c r="S204" s="23">
        <f t="shared" si="76"/>
        <v>0</v>
      </c>
    </row>
    <row r="205" spans="1:19" s="24" customFormat="1" ht="8.1" customHeight="1">
      <c r="A205" s="74" t="s">
        <v>310</v>
      </c>
      <c r="B205" s="75"/>
      <c r="C205" s="78" t="s">
        <v>311</v>
      </c>
      <c r="D205" s="79"/>
      <c r="E205" s="79"/>
      <c r="F205" s="79"/>
      <c r="G205" s="80"/>
      <c r="H205" s="21" t="s">
        <v>23</v>
      </c>
      <c r="I205" s="22"/>
      <c r="J205" s="8"/>
      <c r="K205" s="8"/>
      <c r="L205" s="8"/>
      <c r="M205" s="8"/>
      <c r="N205" s="8"/>
      <c r="O205" s="8"/>
      <c r="P205" s="8"/>
      <c r="Q205" s="8"/>
      <c r="R205" s="8">
        <f t="shared" si="75"/>
        <v>0</v>
      </c>
      <c r="S205" s="23">
        <f t="shared" si="76"/>
        <v>0</v>
      </c>
    </row>
    <row r="206" spans="1:19" s="24" customFormat="1" ht="8.1" customHeight="1">
      <c r="A206" s="74" t="s">
        <v>312</v>
      </c>
      <c r="B206" s="75"/>
      <c r="C206" s="90" t="s">
        <v>313</v>
      </c>
      <c r="D206" s="91"/>
      <c r="E206" s="91"/>
      <c r="F206" s="91"/>
      <c r="G206" s="92"/>
      <c r="H206" s="21" t="s">
        <v>23</v>
      </c>
      <c r="I206" s="22"/>
      <c r="J206" s="8"/>
      <c r="K206" s="8"/>
      <c r="L206" s="8"/>
      <c r="M206" s="8"/>
      <c r="N206" s="8"/>
      <c r="O206" s="8"/>
      <c r="P206" s="8"/>
      <c r="Q206" s="8"/>
      <c r="R206" s="8">
        <f t="shared" si="75"/>
        <v>0</v>
      </c>
      <c r="S206" s="23">
        <f t="shared" si="76"/>
        <v>0</v>
      </c>
    </row>
    <row r="207" spans="1:19" s="24" customFormat="1" ht="8.25">
      <c r="A207" s="74" t="s">
        <v>314</v>
      </c>
      <c r="B207" s="75"/>
      <c r="C207" s="93" t="s">
        <v>315</v>
      </c>
      <c r="D207" s="94"/>
      <c r="E207" s="94"/>
      <c r="F207" s="94"/>
      <c r="G207" s="95"/>
      <c r="H207" s="21" t="s">
        <v>23</v>
      </c>
      <c r="I207" s="22">
        <f t="shared" ref="I207:Q207" si="84">I208+I215+I216+I217</f>
        <v>4.9870812219999996</v>
      </c>
      <c r="J207" s="8">
        <f t="shared" si="84"/>
        <v>4.7835939160000001</v>
      </c>
      <c r="K207" s="8">
        <f t="shared" si="84"/>
        <v>1.669</v>
      </c>
      <c r="L207" s="8">
        <f t="shared" si="84"/>
        <v>6.589067487411552</v>
      </c>
      <c r="M207" s="8">
        <f t="shared" si="84"/>
        <v>0</v>
      </c>
      <c r="N207" s="8">
        <f t="shared" si="84"/>
        <v>14.7783211065152</v>
      </c>
      <c r="O207" s="8">
        <f t="shared" si="84"/>
        <v>0</v>
      </c>
      <c r="P207" s="8">
        <f t="shared" si="84"/>
        <v>22.743136226370559</v>
      </c>
      <c r="Q207" s="8">
        <f t="shared" si="84"/>
        <v>0</v>
      </c>
      <c r="R207" s="8">
        <f t="shared" si="75"/>
        <v>55.550199958297313</v>
      </c>
      <c r="S207" s="23">
        <f t="shared" si="76"/>
        <v>0</v>
      </c>
    </row>
    <row r="208" spans="1:19" s="24" customFormat="1" ht="8.1" customHeight="1">
      <c r="A208" s="74" t="s">
        <v>316</v>
      </c>
      <c r="B208" s="75"/>
      <c r="C208" s="90" t="s">
        <v>317</v>
      </c>
      <c r="D208" s="91"/>
      <c r="E208" s="91"/>
      <c r="F208" s="91"/>
      <c r="G208" s="92"/>
      <c r="H208" s="21" t="s">
        <v>23</v>
      </c>
      <c r="I208" s="22">
        <f t="shared" ref="I208:Q208" si="85">I209+I210+I211+I212+I213+I214</f>
        <v>4.9870812219999996</v>
      </c>
      <c r="J208" s="8">
        <f t="shared" si="85"/>
        <v>4.7835939160000001</v>
      </c>
      <c r="K208" s="8">
        <f t="shared" si="85"/>
        <v>1.669</v>
      </c>
      <c r="L208" s="8">
        <f t="shared" si="85"/>
        <v>6.589067487411552</v>
      </c>
      <c r="M208" s="8">
        <f t="shared" si="85"/>
        <v>0</v>
      </c>
      <c r="N208" s="8">
        <f t="shared" si="85"/>
        <v>14.7783211065152</v>
      </c>
      <c r="O208" s="8">
        <f t="shared" si="85"/>
        <v>0</v>
      </c>
      <c r="P208" s="8">
        <f t="shared" si="85"/>
        <v>22.743136226370559</v>
      </c>
      <c r="Q208" s="8">
        <f t="shared" si="85"/>
        <v>0</v>
      </c>
      <c r="R208" s="8">
        <f t="shared" si="75"/>
        <v>55.550199958297313</v>
      </c>
      <c r="S208" s="23">
        <f t="shared" si="76"/>
        <v>0</v>
      </c>
    </row>
    <row r="209" spans="1:19" s="24" customFormat="1" ht="8.1" customHeight="1">
      <c r="A209" s="74" t="s">
        <v>318</v>
      </c>
      <c r="B209" s="75"/>
      <c r="C209" s="87" t="s">
        <v>319</v>
      </c>
      <c r="D209" s="88"/>
      <c r="E209" s="88"/>
      <c r="F209" s="88"/>
      <c r="G209" s="89"/>
      <c r="H209" s="21" t="s">
        <v>23</v>
      </c>
      <c r="I209" s="22"/>
      <c r="J209" s="8"/>
      <c r="K209" s="8"/>
      <c r="L209" s="8"/>
      <c r="M209" s="8"/>
      <c r="N209" s="8"/>
      <c r="O209" s="8"/>
      <c r="P209" s="8"/>
      <c r="Q209" s="8"/>
      <c r="R209" s="8">
        <f t="shared" si="75"/>
        <v>0</v>
      </c>
      <c r="S209" s="23">
        <f t="shared" si="76"/>
        <v>0</v>
      </c>
    </row>
    <row r="210" spans="1:19" s="24" customFormat="1" ht="8.1" customHeight="1">
      <c r="A210" s="74" t="s">
        <v>320</v>
      </c>
      <c r="B210" s="75"/>
      <c r="C210" s="87" t="s">
        <v>321</v>
      </c>
      <c r="D210" s="88"/>
      <c r="E210" s="88"/>
      <c r="F210" s="88"/>
      <c r="G210" s="89"/>
      <c r="H210" s="21" t="s">
        <v>23</v>
      </c>
      <c r="I210" s="22"/>
      <c r="J210" s="8"/>
      <c r="K210" s="8"/>
      <c r="L210" s="8"/>
      <c r="M210" s="8"/>
      <c r="N210" s="8"/>
      <c r="O210" s="8"/>
      <c r="P210" s="8"/>
      <c r="Q210" s="8"/>
      <c r="R210" s="8">
        <f t="shared" si="75"/>
        <v>0</v>
      </c>
      <c r="S210" s="23">
        <f t="shared" si="76"/>
        <v>0</v>
      </c>
    </row>
    <row r="211" spans="1:19" s="24" customFormat="1" ht="8.1" customHeight="1">
      <c r="A211" s="74" t="s">
        <v>322</v>
      </c>
      <c r="B211" s="75"/>
      <c r="C211" s="87" t="s">
        <v>323</v>
      </c>
      <c r="D211" s="88"/>
      <c r="E211" s="88"/>
      <c r="F211" s="88"/>
      <c r="G211" s="89"/>
      <c r="H211" s="21" t="s">
        <v>23</v>
      </c>
      <c r="I211" s="22"/>
      <c r="J211" s="8"/>
      <c r="K211" s="8"/>
      <c r="L211" s="8"/>
      <c r="M211" s="8"/>
      <c r="N211" s="8"/>
      <c r="O211" s="8"/>
      <c r="P211" s="8"/>
      <c r="Q211" s="8"/>
      <c r="R211" s="8">
        <f t="shared" si="75"/>
        <v>0</v>
      </c>
      <c r="S211" s="23">
        <f t="shared" si="76"/>
        <v>0</v>
      </c>
    </row>
    <row r="212" spans="1:19" s="24" customFormat="1" ht="8.1" customHeight="1">
      <c r="A212" s="74" t="s">
        <v>324</v>
      </c>
      <c r="B212" s="75"/>
      <c r="C212" s="87" t="s">
        <v>325</v>
      </c>
      <c r="D212" s="88"/>
      <c r="E212" s="88"/>
      <c r="F212" s="88"/>
      <c r="G212" s="89"/>
      <c r="H212" s="21" t="s">
        <v>23</v>
      </c>
      <c r="I212" s="22">
        <f>4987.081222/1000</f>
        <v>4.9870812219999996</v>
      </c>
      <c r="J212" s="8">
        <f>4783.593916/1000</f>
        <v>4.7835939160000001</v>
      </c>
      <c r="K212" s="8">
        <v>1.669</v>
      </c>
      <c r="L212" s="8">
        <f>L369*1.18</f>
        <v>6.589067487411552</v>
      </c>
      <c r="M212" s="8"/>
      <c r="N212" s="8">
        <f>(N369)*1.18</f>
        <v>14.7783211065152</v>
      </c>
      <c r="O212" s="8"/>
      <c r="P212" s="8">
        <f>P369*1.18</f>
        <v>22.743136226370559</v>
      </c>
      <c r="Q212" s="8"/>
      <c r="R212" s="8">
        <f t="shared" si="75"/>
        <v>55.550199958297313</v>
      </c>
      <c r="S212" s="23">
        <f t="shared" si="76"/>
        <v>0</v>
      </c>
    </row>
    <row r="213" spans="1:19" s="24" customFormat="1" ht="8.1" customHeight="1">
      <c r="A213" s="74" t="s">
        <v>326</v>
      </c>
      <c r="B213" s="75"/>
      <c r="C213" s="87" t="s">
        <v>327</v>
      </c>
      <c r="D213" s="88"/>
      <c r="E213" s="88"/>
      <c r="F213" s="88"/>
      <c r="G213" s="89"/>
      <c r="H213" s="21" t="s">
        <v>23</v>
      </c>
      <c r="I213" s="22"/>
      <c r="J213" s="8"/>
      <c r="K213" s="8"/>
      <c r="L213" s="8"/>
      <c r="M213" s="8"/>
      <c r="N213" s="8"/>
      <c r="O213" s="8"/>
      <c r="P213" s="8"/>
      <c r="Q213" s="8"/>
      <c r="R213" s="8">
        <f t="shared" si="75"/>
        <v>0</v>
      </c>
      <c r="S213" s="23">
        <f t="shared" si="76"/>
        <v>0</v>
      </c>
    </row>
    <row r="214" spans="1:19" s="24" customFormat="1" ht="8.1" customHeight="1">
      <c r="A214" s="74" t="s">
        <v>328</v>
      </c>
      <c r="B214" s="75"/>
      <c r="C214" s="87" t="s">
        <v>329</v>
      </c>
      <c r="D214" s="88"/>
      <c r="E214" s="88"/>
      <c r="F214" s="88"/>
      <c r="G214" s="89"/>
      <c r="H214" s="21" t="s">
        <v>23</v>
      </c>
      <c r="I214" s="22"/>
      <c r="J214" s="8"/>
      <c r="K214" s="8"/>
      <c r="L214" s="8"/>
      <c r="M214" s="8"/>
      <c r="N214" s="8"/>
      <c r="O214" s="8"/>
      <c r="P214" s="8"/>
      <c r="Q214" s="8"/>
      <c r="R214" s="8">
        <f t="shared" si="75"/>
        <v>0</v>
      </c>
      <c r="S214" s="23">
        <f t="shared" si="76"/>
        <v>0</v>
      </c>
    </row>
    <row r="215" spans="1:19" s="24" customFormat="1" ht="8.1" customHeight="1">
      <c r="A215" s="74" t="s">
        <v>330</v>
      </c>
      <c r="B215" s="75"/>
      <c r="C215" s="90" t="s">
        <v>331</v>
      </c>
      <c r="D215" s="91"/>
      <c r="E215" s="91"/>
      <c r="F215" s="91"/>
      <c r="G215" s="92"/>
      <c r="H215" s="21" t="s">
        <v>23</v>
      </c>
      <c r="I215" s="22"/>
      <c r="J215" s="8"/>
      <c r="K215" s="8"/>
      <c r="L215" s="8"/>
      <c r="M215" s="8"/>
      <c r="N215" s="8"/>
      <c r="O215" s="8"/>
      <c r="P215" s="8"/>
      <c r="Q215" s="8"/>
      <c r="R215" s="8">
        <f t="shared" si="75"/>
        <v>0</v>
      </c>
      <c r="S215" s="23">
        <f t="shared" si="76"/>
        <v>0</v>
      </c>
    </row>
    <row r="216" spans="1:19" s="24" customFormat="1" ht="8.1" customHeight="1">
      <c r="A216" s="74" t="s">
        <v>332</v>
      </c>
      <c r="B216" s="75"/>
      <c r="C216" s="90" t="s">
        <v>333</v>
      </c>
      <c r="D216" s="91"/>
      <c r="E216" s="91"/>
      <c r="F216" s="91"/>
      <c r="G216" s="92"/>
      <c r="H216" s="21" t="s">
        <v>23</v>
      </c>
      <c r="I216" s="22"/>
      <c r="J216" s="8"/>
      <c r="K216" s="8"/>
      <c r="L216" s="8"/>
      <c r="M216" s="8"/>
      <c r="N216" s="8"/>
      <c r="O216" s="8"/>
      <c r="P216" s="8"/>
      <c r="Q216" s="8"/>
      <c r="R216" s="8">
        <f t="shared" si="75"/>
        <v>0</v>
      </c>
      <c r="S216" s="23">
        <f t="shared" si="76"/>
        <v>0</v>
      </c>
    </row>
    <row r="217" spans="1:19" s="24" customFormat="1" ht="8.1" customHeight="1">
      <c r="A217" s="74" t="s">
        <v>334</v>
      </c>
      <c r="B217" s="75"/>
      <c r="C217" s="90" t="s">
        <v>114</v>
      </c>
      <c r="D217" s="91"/>
      <c r="E217" s="91"/>
      <c r="F217" s="91"/>
      <c r="G217" s="92"/>
      <c r="H217" s="21" t="s">
        <v>228</v>
      </c>
      <c r="I217" s="22"/>
      <c r="J217" s="8"/>
      <c r="K217" s="8"/>
      <c r="L217" s="8"/>
      <c r="M217" s="8"/>
      <c r="N217" s="8"/>
      <c r="O217" s="8"/>
      <c r="P217" s="8"/>
      <c r="Q217" s="8"/>
      <c r="R217" s="8">
        <f t="shared" si="75"/>
        <v>0</v>
      </c>
      <c r="S217" s="23">
        <f t="shared" si="76"/>
        <v>0</v>
      </c>
    </row>
    <row r="218" spans="1:19" s="24" customFormat="1" ht="16.5" customHeight="1">
      <c r="A218" s="74" t="s">
        <v>335</v>
      </c>
      <c r="B218" s="75"/>
      <c r="C218" s="87" t="s">
        <v>336</v>
      </c>
      <c r="D218" s="88"/>
      <c r="E218" s="88"/>
      <c r="F218" s="88"/>
      <c r="G218" s="89"/>
      <c r="H218" s="21" t="s">
        <v>23</v>
      </c>
      <c r="I218" s="22"/>
      <c r="J218" s="8"/>
      <c r="K218" s="8"/>
      <c r="L218" s="8"/>
      <c r="M218" s="8"/>
      <c r="N218" s="8"/>
      <c r="O218" s="8"/>
      <c r="P218" s="8"/>
      <c r="Q218" s="8"/>
      <c r="R218" s="8">
        <f t="shared" si="75"/>
        <v>0</v>
      </c>
      <c r="S218" s="23">
        <f t="shared" si="76"/>
        <v>0</v>
      </c>
    </row>
    <row r="219" spans="1:19" s="24" customFormat="1" ht="8.25">
      <c r="A219" s="74" t="s">
        <v>337</v>
      </c>
      <c r="B219" s="75"/>
      <c r="C219" s="93" t="s">
        <v>338</v>
      </c>
      <c r="D219" s="94"/>
      <c r="E219" s="94"/>
      <c r="F219" s="94"/>
      <c r="G219" s="95"/>
      <c r="H219" s="21" t="s">
        <v>23</v>
      </c>
      <c r="I219" s="22">
        <f t="shared" ref="I219:Q219" si="86">I220+I221+I225+I226+I229+I230+I231</f>
        <v>2013.2674637999999</v>
      </c>
      <c r="J219" s="8">
        <f t="shared" si="86"/>
        <v>11273.720426225998</v>
      </c>
      <c r="K219" s="8">
        <f t="shared" si="86"/>
        <v>10521.027</v>
      </c>
      <c r="L219" s="8">
        <f t="shared" si="86"/>
        <v>609.44000000000005</v>
      </c>
      <c r="M219" s="8">
        <f t="shared" si="86"/>
        <v>1913.6659999999999</v>
      </c>
      <c r="N219" s="8">
        <f t="shared" si="86"/>
        <v>633.81760000000008</v>
      </c>
      <c r="O219" s="8">
        <f t="shared" si="86"/>
        <v>0</v>
      </c>
      <c r="P219" s="8">
        <f t="shared" si="86"/>
        <v>659.1703040000001</v>
      </c>
      <c r="Q219" s="8">
        <f t="shared" si="86"/>
        <v>0</v>
      </c>
      <c r="R219" s="8">
        <f t="shared" si="75"/>
        <v>25710.442794025992</v>
      </c>
      <c r="S219" s="23">
        <f t="shared" si="76"/>
        <v>1913.6659999999999</v>
      </c>
    </row>
    <row r="220" spans="1:19" s="24" customFormat="1" ht="8.1" customHeight="1">
      <c r="A220" s="74" t="s">
        <v>339</v>
      </c>
      <c r="B220" s="75"/>
      <c r="C220" s="90" t="s">
        <v>340</v>
      </c>
      <c r="D220" s="91"/>
      <c r="E220" s="91"/>
      <c r="F220" s="91"/>
      <c r="G220" s="92"/>
      <c r="H220" s="21" t="s">
        <v>23</v>
      </c>
      <c r="I220" s="22"/>
      <c r="J220" s="8"/>
      <c r="K220" s="8">
        <v>1.343</v>
      </c>
      <c r="L220" s="8"/>
      <c r="M220" s="8">
        <v>0.85699999999999998</v>
      </c>
      <c r="N220" s="8"/>
      <c r="O220" s="8"/>
      <c r="P220" s="8"/>
      <c r="Q220" s="8"/>
      <c r="R220" s="8">
        <f t="shared" si="75"/>
        <v>1.343</v>
      </c>
      <c r="S220" s="23">
        <f t="shared" si="76"/>
        <v>0.85699999999999998</v>
      </c>
    </row>
    <row r="221" spans="1:19" s="24" customFormat="1" ht="8.1" customHeight="1">
      <c r="A221" s="74" t="s">
        <v>341</v>
      </c>
      <c r="B221" s="75"/>
      <c r="C221" s="90" t="s">
        <v>342</v>
      </c>
      <c r="D221" s="91"/>
      <c r="E221" s="91"/>
      <c r="F221" s="91"/>
      <c r="G221" s="92"/>
      <c r="H221" s="21" t="s">
        <v>23</v>
      </c>
      <c r="I221" s="22">
        <f t="shared" ref="I221:Q221" si="87">I222+I223+I224</f>
        <v>1697</v>
      </c>
      <c r="J221" s="8">
        <f t="shared" si="87"/>
        <v>3397.8236042799999</v>
      </c>
      <c r="K221" s="8">
        <f t="shared" si="87"/>
        <v>3264.85</v>
      </c>
      <c r="L221" s="8">
        <f t="shared" si="87"/>
        <v>603.20000000000005</v>
      </c>
      <c r="M221" s="8">
        <f t="shared" si="87"/>
        <v>528.15499999999997</v>
      </c>
      <c r="N221" s="8">
        <f t="shared" si="87"/>
        <v>627.32800000000009</v>
      </c>
      <c r="O221" s="8">
        <f t="shared" si="87"/>
        <v>0</v>
      </c>
      <c r="P221" s="8">
        <f t="shared" si="87"/>
        <v>652.42112000000009</v>
      </c>
      <c r="Q221" s="8">
        <f t="shared" si="87"/>
        <v>0</v>
      </c>
      <c r="R221" s="8">
        <f t="shared" si="75"/>
        <v>10242.622724280001</v>
      </c>
      <c r="S221" s="23">
        <f t="shared" si="76"/>
        <v>528.15499999999997</v>
      </c>
    </row>
    <row r="222" spans="1:19" s="24" customFormat="1" ht="8.1" customHeight="1">
      <c r="A222" s="74" t="s">
        <v>343</v>
      </c>
      <c r="B222" s="75"/>
      <c r="C222" s="87" t="s">
        <v>344</v>
      </c>
      <c r="D222" s="88"/>
      <c r="E222" s="88"/>
      <c r="F222" s="88"/>
      <c r="G222" s="89"/>
      <c r="H222" s="21" t="s">
        <v>23</v>
      </c>
      <c r="I222" s="22">
        <f>1697000/1000</f>
        <v>1697</v>
      </c>
      <c r="J222" s="8">
        <f>3397823.60428/1000</f>
        <v>3397.8236042799999</v>
      </c>
      <c r="K222" s="8">
        <v>3264.85</v>
      </c>
      <c r="L222" s="8">
        <v>603.20000000000005</v>
      </c>
      <c r="M222" s="8">
        <v>528.15499999999997</v>
      </c>
      <c r="N222" s="8">
        <v>627.32800000000009</v>
      </c>
      <c r="O222" s="8"/>
      <c r="P222" s="8">
        <v>652.42112000000009</v>
      </c>
      <c r="Q222" s="8"/>
      <c r="R222" s="8">
        <f t="shared" si="75"/>
        <v>10242.622724280001</v>
      </c>
      <c r="S222" s="23">
        <f t="shared" si="76"/>
        <v>528.15499999999997</v>
      </c>
    </row>
    <row r="223" spans="1:19" s="24" customFormat="1" ht="8.1" customHeight="1">
      <c r="A223" s="74" t="s">
        <v>345</v>
      </c>
      <c r="B223" s="75"/>
      <c r="C223" s="87" t="s">
        <v>346</v>
      </c>
      <c r="D223" s="88"/>
      <c r="E223" s="88"/>
      <c r="F223" s="88"/>
      <c r="G223" s="89"/>
      <c r="H223" s="21" t="s">
        <v>23</v>
      </c>
      <c r="I223" s="22"/>
      <c r="J223" s="8"/>
      <c r="K223" s="8"/>
      <c r="L223" s="8"/>
      <c r="M223" s="8"/>
      <c r="N223" s="8"/>
      <c r="O223" s="8"/>
      <c r="P223" s="8"/>
      <c r="Q223" s="8"/>
      <c r="R223" s="8">
        <f t="shared" si="75"/>
        <v>0</v>
      </c>
      <c r="S223" s="23">
        <f t="shared" si="76"/>
        <v>0</v>
      </c>
    </row>
    <row r="224" spans="1:19" s="24" customFormat="1" ht="8.1" customHeight="1">
      <c r="A224" s="74" t="s">
        <v>347</v>
      </c>
      <c r="B224" s="75"/>
      <c r="C224" s="87" t="s">
        <v>348</v>
      </c>
      <c r="D224" s="88"/>
      <c r="E224" s="88"/>
      <c r="F224" s="88"/>
      <c r="G224" s="89"/>
      <c r="H224" s="21" t="s">
        <v>23</v>
      </c>
      <c r="I224" s="22"/>
      <c r="J224" s="8"/>
      <c r="K224" s="8"/>
      <c r="L224" s="8"/>
      <c r="M224" s="8"/>
      <c r="N224" s="8"/>
      <c r="O224" s="8"/>
      <c r="P224" s="8"/>
      <c r="Q224" s="8"/>
      <c r="R224" s="8">
        <f t="shared" si="75"/>
        <v>0</v>
      </c>
      <c r="S224" s="23">
        <f t="shared" si="76"/>
        <v>0</v>
      </c>
    </row>
    <row r="225" spans="1:19" s="24" customFormat="1" ht="8.1" customHeight="1">
      <c r="A225" s="74" t="s">
        <v>349</v>
      </c>
      <c r="B225" s="75"/>
      <c r="C225" s="90" t="s">
        <v>350</v>
      </c>
      <c r="D225" s="91"/>
      <c r="E225" s="91"/>
      <c r="F225" s="91"/>
      <c r="G225" s="92"/>
      <c r="H225" s="21" t="s">
        <v>23</v>
      </c>
      <c r="I225" s="22"/>
      <c r="J225" s="8"/>
      <c r="K225" s="8"/>
      <c r="L225" s="8"/>
      <c r="M225" s="8"/>
      <c r="N225" s="8"/>
      <c r="O225" s="8"/>
      <c r="P225" s="8"/>
      <c r="Q225" s="8"/>
      <c r="R225" s="8">
        <f t="shared" si="75"/>
        <v>0</v>
      </c>
      <c r="S225" s="23">
        <f t="shared" si="76"/>
        <v>0</v>
      </c>
    </row>
    <row r="226" spans="1:19" s="24" customFormat="1" ht="8.1" customHeight="1">
      <c r="A226" s="74" t="s">
        <v>351</v>
      </c>
      <c r="B226" s="75"/>
      <c r="C226" s="90" t="s">
        <v>352</v>
      </c>
      <c r="D226" s="91"/>
      <c r="E226" s="91"/>
      <c r="F226" s="91"/>
      <c r="G226" s="92"/>
      <c r="H226" s="21" t="s">
        <v>23</v>
      </c>
      <c r="I226" s="22">
        <f t="shared" ref="I226:Q226" si="88">I227+I228</f>
        <v>0</v>
      </c>
      <c r="J226" s="8">
        <f t="shared" si="88"/>
        <v>0</v>
      </c>
      <c r="K226" s="8">
        <f t="shared" si="88"/>
        <v>0</v>
      </c>
      <c r="L226" s="8">
        <f t="shared" si="88"/>
        <v>0</v>
      </c>
      <c r="M226" s="8">
        <f t="shared" si="88"/>
        <v>0</v>
      </c>
      <c r="N226" s="8">
        <f t="shared" si="88"/>
        <v>0</v>
      </c>
      <c r="O226" s="8">
        <f t="shared" si="88"/>
        <v>0</v>
      </c>
      <c r="P226" s="8">
        <f t="shared" si="88"/>
        <v>0</v>
      </c>
      <c r="Q226" s="8">
        <f t="shared" si="88"/>
        <v>0</v>
      </c>
      <c r="R226" s="8">
        <f t="shared" si="75"/>
        <v>0</v>
      </c>
      <c r="S226" s="23">
        <f t="shared" si="76"/>
        <v>0</v>
      </c>
    </row>
    <row r="227" spans="1:19" s="24" customFormat="1" ht="8.1" customHeight="1">
      <c r="A227" s="74" t="s">
        <v>353</v>
      </c>
      <c r="B227" s="75"/>
      <c r="C227" s="87" t="s">
        <v>354</v>
      </c>
      <c r="D227" s="88"/>
      <c r="E227" s="88"/>
      <c r="F227" s="88"/>
      <c r="G227" s="89"/>
      <c r="H227" s="21" t="s">
        <v>23</v>
      </c>
      <c r="I227" s="22"/>
      <c r="J227" s="8"/>
      <c r="K227" s="8"/>
      <c r="L227" s="8"/>
      <c r="M227" s="8"/>
      <c r="N227" s="8"/>
      <c r="O227" s="8"/>
      <c r="P227" s="8"/>
      <c r="Q227" s="8"/>
      <c r="R227" s="8">
        <f t="shared" si="75"/>
        <v>0</v>
      </c>
      <c r="S227" s="23">
        <f t="shared" si="76"/>
        <v>0</v>
      </c>
    </row>
    <row r="228" spans="1:19" s="24" customFormat="1" ht="8.1" customHeight="1">
      <c r="A228" s="74" t="s">
        <v>355</v>
      </c>
      <c r="B228" s="75"/>
      <c r="C228" s="87" t="s">
        <v>356</v>
      </c>
      <c r="D228" s="88"/>
      <c r="E228" s="88"/>
      <c r="F228" s="88"/>
      <c r="G228" s="89"/>
      <c r="H228" s="21" t="s">
        <v>23</v>
      </c>
      <c r="I228" s="22"/>
      <c r="J228" s="8"/>
      <c r="K228" s="8"/>
      <c r="L228" s="8"/>
      <c r="M228" s="8"/>
      <c r="N228" s="8"/>
      <c r="O228" s="8"/>
      <c r="P228" s="8"/>
      <c r="Q228" s="8"/>
      <c r="R228" s="8">
        <f t="shared" si="75"/>
        <v>0</v>
      </c>
      <c r="S228" s="23">
        <f t="shared" ref="S228:S291" si="89">M228+O228+Q228</f>
        <v>0</v>
      </c>
    </row>
    <row r="229" spans="1:19" s="24" customFormat="1" ht="8.1" customHeight="1">
      <c r="A229" s="74" t="s">
        <v>357</v>
      </c>
      <c r="B229" s="75"/>
      <c r="C229" s="90" t="s">
        <v>358</v>
      </c>
      <c r="D229" s="91"/>
      <c r="E229" s="91"/>
      <c r="F229" s="91"/>
      <c r="G229" s="92"/>
      <c r="H229" s="21" t="s">
        <v>23</v>
      </c>
      <c r="I229" s="22"/>
      <c r="J229" s="8"/>
      <c r="K229" s="8"/>
      <c r="L229" s="8"/>
      <c r="M229" s="8"/>
      <c r="N229" s="8"/>
      <c r="O229" s="8"/>
      <c r="P229" s="8"/>
      <c r="Q229" s="8"/>
      <c r="R229" s="8">
        <f t="shared" si="75"/>
        <v>0</v>
      </c>
      <c r="S229" s="23">
        <f t="shared" si="89"/>
        <v>0</v>
      </c>
    </row>
    <row r="230" spans="1:19" s="24" customFormat="1" ht="8.1" customHeight="1">
      <c r="A230" s="74" t="s">
        <v>359</v>
      </c>
      <c r="B230" s="75"/>
      <c r="C230" s="90" t="s">
        <v>360</v>
      </c>
      <c r="D230" s="91"/>
      <c r="E230" s="91"/>
      <c r="F230" s="91"/>
      <c r="G230" s="92"/>
      <c r="H230" s="21" t="s">
        <v>23</v>
      </c>
      <c r="I230" s="22"/>
      <c r="J230" s="8"/>
      <c r="K230" s="8"/>
      <c r="L230" s="8"/>
      <c r="M230" s="8"/>
      <c r="N230" s="8"/>
      <c r="O230" s="8"/>
      <c r="P230" s="8"/>
      <c r="Q230" s="8"/>
      <c r="R230" s="8">
        <f t="shared" si="75"/>
        <v>0</v>
      </c>
      <c r="S230" s="23">
        <f t="shared" si="89"/>
        <v>0</v>
      </c>
    </row>
    <row r="231" spans="1:19" s="24" customFormat="1" ht="8.1" customHeight="1">
      <c r="A231" s="74" t="s">
        <v>361</v>
      </c>
      <c r="B231" s="75"/>
      <c r="C231" s="90" t="s">
        <v>362</v>
      </c>
      <c r="D231" s="91"/>
      <c r="E231" s="91"/>
      <c r="F231" s="91"/>
      <c r="G231" s="92"/>
      <c r="H231" s="21" t="s">
        <v>23</v>
      </c>
      <c r="I231" s="22">
        <f>118213.42657/1000+198054.03723/1000</f>
        <v>316.26746379999997</v>
      </c>
      <c r="J231" s="8">
        <f>7875896.821946/1000</f>
        <v>7875.8968219459994</v>
      </c>
      <c r="K231" s="8">
        <f>10521.027-3266.193</f>
        <v>7254.8339999999998</v>
      </c>
      <c r="L231" s="8">
        <v>6.24</v>
      </c>
      <c r="M231" s="8">
        <f>1913.666-529.012</f>
        <v>1384.654</v>
      </c>
      <c r="N231" s="8">
        <v>6.4896000000000003</v>
      </c>
      <c r="O231" s="8"/>
      <c r="P231" s="8">
        <v>6.7491840000000005</v>
      </c>
      <c r="Q231" s="8"/>
      <c r="R231" s="8">
        <f t="shared" si="75"/>
        <v>15466.477069745999</v>
      </c>
      <c r="S231" s="23">
        <f t="shared" si="89"/>
        <v>1384.654</v>
      </c>
    </row>
    <row r="232" spans="1:19" s="24" customFormat="1" ht="8.1" customHeight="1">
      <c r="A232" s="74" t="s">
        <v>363</v>
      </c>
      <c r="B232" s="75"/>
      <c r="C232" s="93" t="s">
        <v>364</v>
      </c>
      <c r="D232" s="94"/>
      <c r="E232" s="94"/>
      <c r="F232" s="94"/>
      <c r="G232" s="95"/>
      <c r="H232" s="21" t="s">
        <v>23</v>
      </c>
      <c r="I232" s="22">
        <f t="shared" ref="I232:Q232" si="90">I233+I237+I238</f>
        <v>1832.0828838100001</v>
      </c>
      <c r="J232" s="8">
        <f t="shared" si="90"/>
        <v>11121.305732020001</v>
      </c>
      <c r="K232" s="8">
        <f t="shared" si="90"/>
        <v>10162.046</v>
      </c>
      <c r="L232" s="8">
        <f t="shared" si="90"/>
        <v>7131.5847200000017</v>
      </c>
      <c r="M232" s="8">
        <f t="shared" si="90"/>
        <v>2181.2370000000001</v>
      </c>
      <c r="N232" s="8">
        <f t="shared" si="90"/>
        <v>7416.8481088000017</v>
      </c>
      <c r="O232" s="8">
        <f t="shared" si="90"/>
        <v>0</v>
      </c>
      <c r="P232" s="8">
        <f t="shared" si="90"/>
        <v>7713.5220331520013</v>
      </c>
      <c r="Q232" s="8">
        <f t="shared" si="90"/>
        <v>0</v>
      </c>
      <c r="R232" s="8">
        <f t="shared" si="75"/>
        <v>45377.38947778201</v>
      </c>
      <c r="S232" s="23">
        <f t="shared" si="89"/>
        <v>2181.2370000000001</v>
      </c>
    </row>
    <row r="233" spans="1:19" s="24" customFormat="1" ht="8.1" customHeight="1">
      <c r="A233" s="74" t="s">
        <v>365</v>
      </c>
      <c r="B233" s="75"/>
      <c r="C233" s="90" t="s">
        <v>366</v>
      </c>
      <c r="D233" s="91"/>
      <c r="E233" s="91"/>
      <c r="F233" s="91"/>
      <c r="G233" s="92"/>
      <c r="H233" s="21" t="s">
        <v>23</v>
      </c>
      <c r="I233" s="22">
        <f t="shared" ref="I233:Q233" si="91">I234+I235+I236</f>
        <v>938.12558380999997</v>
      </c>
      <c r="J233" s="8">
        <f t="shared" si="91"/>
        <v>3155.87673202</v>
      </c>
      <c r="K233" s="8">
        <f t="shared" si="91"/>
        <v>4007.7660000000001</v>
      </c>
      <c r="L233" s="8">
        <f t="shared" si="91"/>
        <v>731.13352000000009</v>
      </c>
      <c r="M233" s="8">
        <f t="shared" si="91"/>
        <v>644.73699999999997</v>
      </c>
      <c r="N233" s="8">
        <f t="shared" si="91"/>
        <v>760.3788608000001</v>
      </c>
      <c r="O233" s="8">
        <f t="shared" si="91"/>
        <v>0</v>
      </c>
      <c r="P233" s="8">
        <f t="shared" si="91"/>
        <v>790.79401523200011</v>
      </c>
      <c r="Q233" s="8">
        <f t="shared" si="91"/>
        <v>0</v>
      </c>
      <c r="R233" s="8">
        <f t="shared" si="75"/>
        <v>10384.074711862</v>
      </c>
      <c r="S233" s="23">
        <f t="shared" si="89"/>
        <v>644.73699999999997</v>
      </c>
    </row>
    <row r="234" spans="1:19" s="24" customFormat="1" ht="8.1" customHeight="1">
      <c r="A234" s="74" t="s">
        <v>367</v>
      </c>
      <c r="B234" s="75"/>
      <c r="C234" s="87" t="s">
        <v>344</v>
      </c>
      <c r="D234" s="88"/>
      <c r="E234" s="88"/>
      <c r="F234" s="88"/>
      <c r="G234" s="89"/>
      <c r="H234" s="21" t="s">
        <v>23</v>
      </c>
      <c r="I234" s="22">
        <f>915000/1000+23125.58381/1000</f>
        <v>938.12558380999997</v>
      </c>
      <c r="J234" s="8">
        <f>3155876.73202/1000</f>
        <v>3155.87673202</v>
      </c>
      <c r="K234" s="8">
        <v>4007.7660000000001</v>
      </c>
      <c r="L234" s="8">
        <v>731.13352000000009</v>
      </c>
      <c r="M234" s="8">
        <f>644.737</f>
        <v>644.73699999999997</v>
      </c>
      <c r="N234" s="8">
        <v>760.3788608000001</v>
      </c>
      <c r="O234" s="8"/>
      <c r="P234" s="8">
        <v>790.79401523200011</v>
      </c>
      <c r="Q234" s="8"/>
      <c r="R234" s="8">
        <f t="shared" si="75"/>
        <v>10384.074711862</v>
      </c>
      <c r="S234" s="23">
        <f t="shared" si="89"/>
        <v>644.73699999999997</v>
      </c>
    </row>
    <row r="235" spans="1:19" s="24" customFormat="1" ht="8.1" customHeight="1">
      <c r="A235" s="74" t="s">
        <v>368</v>
      </c>
      <c r="B235" s="75"/>
      <c r="C235" s="87" t="s">
        <v>346</v>
      </c>
      <c r="D235" s="88"/>
      <c r="E235" s="88"/>
      <c r="F235" s="88"/>
      <c r="G235" s="89"/>
      <c r="H235" s="21" t="s">
        <v>23</v>
      </c>
      <c r="I235" s="22"/>
      <c r="J235" s="8"/>
      <c r="K235" s="8"/>
      <c r="L235" s="8"/>
      <c r="M235" s="8"/>
      <c r="N235" s="8"/>
      <c r="O235" s="8"/>
      <c r="P235" s="8"/>
      <c r="Q235" s="8"/>
      <c r="R235" s="8">
        <f t="shared" si="75"/>
        <v>0</v>
      </c>
      <c r="S235" s="23">
        <f t="shared" si="89"/>
        <v>0</v>
      </c>
    </row>
    <row r="236" spans="1:19" s="24" customFormat="1" ht="8.1" customHeight="1">
      <c r="A236" s="74" t="s">
        <v>369</v>
      </c>
      <c r="B236" s="75"/>
      <c r="C236" s="87" t="s">
        <v>348</v>
      </c>
      <c r="D236" s="88"/>
      <c r="E236" s="88"/>
      <c r="F236" s="88"/>
      <c r="G236" s="89"/>
      <c r="H236" s="21" t="s">
        <v>23</v>
      </c>
      <c r="I236" s="22"/>
      <c r="J236" s="8"/>
      <c r="K236" s="8"/>
      <c r="L236" s="8"/>
      <c r="M236" s="8"/>
      <c r="N236" s="8"/>
      <c r="O236" s="8"/>
      <c r="P236" s="8"/>
      <c r="Q236" s="8"/>
      <c r="R236" s="8">
        <f t="shared" si="75"/>
        <v>0</v>
      </c>
      <c r="S236" s="23">
        <f t="shared" si="89"/>
        <v>0</v>
      </c>
    </row>
    <row r="237" spans="1:19" s="24" customFormat="1" ht="8.1" customHeight="1">
      <c r="A237" s="74" t="s">
        <v>370</v>
      </c>
      <c r="B237" s="75"/>
      <c r="C237" s="90" t="s">
        <v>224</v>
      </c>
      <c r="D237" s="91"/>
      <c r="E237" s="91"/>
      <c r="F237" s="91"/>
      <c r="G237" s="92"/>
      <c r="H237" s="21" t="s">
        <v>23</v>
      </c>
      <c r="I237" s="22"/>
      <c r="J237" s="8"/>
      <c r="K237" s="8"/>
      <c r="L237" s="8"/>
      <c r="M237" s="8"/>
      <c r="N237" s="8"/>
      <c r="O237" s="8"/>
      <c r="P237" s="8"/>
      <c r="Q237" s="8"/>
      <c r="R237" s="8">
        <f t="shared" si="75"/>
        <v>0</v>
      </c>
      <c r="S237" s="23">
        <f t="shared" si="89"/>
        <v>0</v>
      </c>
    </row>
    <row r="238" spans="1:19" s="24" customFormat="1" ht="8.1" customHeight="1">
      <c r="A238" s="74" t="s">
        <v>371</v>
      </c>
      <c r="B238" s="75"/>
      <c r="C238" s="90" t="s">
        <v>372</v>
      </c>
      <c r="D238" s="91"/>
      <c r="E238" s="91"/>
      <c r="F238" s="91"/>
      <c r="G238" s="92"/>
      <c r="H238" s="21" t="s">
        <v>23</v>
      </c>
      <c r="I238" s="22">
        <f>893957.3/1000</f>
        <v>893.95730000000003</v>
      </c>
      <c r="J238" s="8">
        <f>7965.429</f>
        <v>7965.4290000000001</v>
      </c>
      <c r="K238" s="8">
        <f>10162.046-4007.766</f>
        <v>6154.2800000000007</v>
      </c>
      <c r="L238" s="8">
        <f>K238*1.04</f>
        <v>6400.4512000000013</v>
      </c>
      <c r="M238" s="8">
        <f>2181.237-644.737</f>
        <v>1536.5</v>
      </c>
      <c r="N238" s="8">
        <f>L238*1.04</f>
        <v>6656.4692480000012</v>
      </c>
      <c r="O238" s="8"/>
      <c r="P238" s="8">
        <f>N238*1.04</f>
        <v>6922.7280179200015</v>
      </c>
      <c r="Q238" s="8"/>
      <c r="R238" s="8">
        <f t="shared" si="75"/>
        <v>34993.314765920004</v>
      </c>
      <c r="S238" s="23">
        <f t="shared" si="89"/>
        <v>1536.5</v>
      </c>
    </row>
    <row r="239" spans="1:19" s="24" customFormat="1" ht="16.5" customHeight="1">
      <c r="A239" s="74" t="s">
        <v>373</v>
      </c>
      <c r="B239" s="75"/>
      <c r="C239" s="93" t="s">
        <v>374</v>
      </c>
      <c r="D239" s="94"/>
      <c r="E239" s="94"/>
      <c r="F239" s="94"/>
      <c r="G239" s="95"/>
      <c r="H239" s="21" t="s">
        <v>23</v>
      </c>
      <c r="I239" s="22">
        <f t="shared" ref="I239:Q239" si="92">I164-I182</f>
        <v>-165.96271878320113</v>
      </c>
      <c r="J239" s="8">
        <f t="shared" si="92"/>
        <v>-149.69686021290727</v>
      </c>
      <c r="K239" s="8">
        <f t="shared" si="92"/>
        <v>-374.3062130776816</v>
      </c>
      <c r="L239" s="8">
        <f t="shared" si="92"/>
        <v>136.22521839921319</v>
      </c>
      <c r="M239" s="8">
        <f t="shared" si="92"/>
        <v>252.80000000000018</v>
      </c>
      <c r="N239" s="8">
        <f t="shared" si="92"/>
        <v>141.67422713517772</v>
      </c>
      <c r="O239" s="8">
        <f t="shared" si="92"/>
        <v>0</v>
      </c>
      <c r="P239" s="8">
        <f t="shared" si="92"/>
        <v>147.34119622058643</v>
      </c>
      <c r="Q239" s="8">
        <f t="shared" si="92"/>
        <v>0</v>
      </c>
      <c r="R239" s="8">
        <f t="shared" si="75"/>
        <v>-264.72515031881267</v>
      </c>
      <c r="S239" s="23">
        <f t="shared" si="89"/>
        <v>252.80000000000018</v>
      </c>
    </row>
    <row r="240" spans="1:19" s="24" customFormat="1" ht="17.25" customHeight="1">
      <c r="A240" s="74" t="s">
        <v>375</v>
      </c>
      <c r="B240" s="75"/>
      <c r="C240" s="93" t="s">
        <v>376</v>
      </c>
      <c r="D240" s="94"/>
      <c r="E240" s="94"/>
      <c r="F240" s="94"/>
      <c r="G240" s="95"/>
      <c r="H240" s="21" t="s">
        <v>23</v>
      </c>
      <c r="I240" s="22">
        <f t="shared" ref="I240:Q240" si="93">I200-I207</f>
        <v>-4.9870812219999996</v>
      </c>
      <c r="J240" s="8">
        <f t="shared" si="93"/>
        <v>-4.6675939160000004</v>
      </c>
      <c r="K240" s="8">
        <f t="shared" si="93"/>
        <v>-1.669</v>
      </c>
      <c r="L240" s="8">
        <f t="shared" si="93"/>
        <v>-6.589067487411552</v>
      </c>
      <c r="M240" s="8">
        <f t="shared" si="93"/>
        <v>0</v>
      </c>
      <c r="N240" s="8">
        <f t="shared" si="93"/>
        <v>-14.7783211065152</v>
      </c>
      <c r="O240" s="8">
        <f t="shared" si="93"/>
        <v>0</v>
      </c>
      <c r="P240" s="8">
        <f t="shared" si="93"/>
        <v>-22.743136226370559</v>
      </c>
      <c r="Q240" s="8">
        <f t="shared" si="93"/>
        <v>0</v>
      </c>
      <c r="R240" s="8">
        <f t="shared" si="75"/>
        <v>-55.434199958297313</v>
      </c>
      <c r="S240" s="23">
        <f t="shared" si="89"/>
        <v>0</v>
      </c>
    </row>
    <row r="241" spans="1:19" s="24" customFormat="1" ht="8.4499999999999993" customHeight="1">
      <c r="A241" s="74" t="s">
        <v>377</v>
      </c>
      <c r="B241" s="75"/>
      <c r="C241" s="90" t="s">
        <v>378</v>
      </c>
      <c r="D241" s="91"/>
      <c r="E241" s="91"/>
      <c r="F241" s="91"/>
      <c r="G241" s="92"/>
      <c r="H241" s="21" t="s">
        <v>23</v>
      </c>
      <c r="I241" s="22"/>
      <c r="J241" s="8"/>
      <c r="K241" s="8" t="s">
        <v>695</v>
      </c>
      <c r="L241" s="8"/>
      <c r="M241" s="8"/>
      <c r="N241" s="8"/>
      <c r="O241" s="8"/>
      <c r="P241" s="8"/>
      <c r="Q241" s="8"/>
      <c r="R241" s="8" t="e">
        <f t="shared" ref="R241" si="94">I241+J241+K241+L241+N241+P241</f>
        <v>#VALUE!</v>
      </c>
      <c r="S241" s="23">
        <f t="shared" si="89"/>
        <v>0</v>
      </c>
    </row>
    <row r="242" spans="1:19" s="24" customFormat="1" ht="8.4499999999999993" customHeight="1">
      <c r="A242" s="74" t="s">
        <v>379</v>
      </c>
      <c r="B242" s="75"/>
      <c r="C242" s="90" t="s">
        <v>380</v>
      </c>
      <c r="D242" s="91"/>
      <c r="E242" s="91"/>
      <c r="F242" s="91"/>
      <c r="G242" s="92"/>
      <c r="H242" s="21" t="s">
        <v>23</v>
      </c>
      <c r="I242" s="22"/>
      <c r="J242" s="8"/>
      <c r="K242" s="8"/>
      <c r="L242" s="8"/>
      <c r="M242" s="8"/>
      <c r="N242" s="8"/>
      <c r="O242" s="8"/>
      <c r="P242" s="8"/>
      <c r="Q242" s="8"/>
      <c r="R242" s="8">
        <f t="shared" si="75"/>
        <v>0</v>
      </c>
      <c r="S242" s="23">
        <f t="shared" si="89"/>
        <v>0</v>
      </c>
    </row>
    <row r="243" spans="1:19" s="24" customFormat="1" ht="16.5" customHeight="1">
      <c r="A243" s="74" t="s">
        <v>381</v>
      </c>
      <c r="B243" s="75"/>
      <c r="C243" s="93" t="s">
        <v>382</v>
      </c>
      <c r="D243" s="94"/>
      <c r="E243" s="94"/>
      <c r="F243" s="94"/>
      <c r="G243" s="95"/>
      <c r="H243" s="21" t="s">
        <v>23</v>
      </c>
      <c r="I243" s="22">
        <f t="shared" ref="I243:Q243" si="95">I219-I232</f>
        <v>181.18457998999975</v>
      </c>
      <c r="J243" s="8">
        <f t="shared" si="95"/>
        <v>152.41469420599788</v>
      </c>
      <c r="K243" s="8">
        <f t="shared" si="95"/>
        <v>358.98099999999977</v>
      </c>
      <c r="L243" s="8">
        <f t="shared" si="95"/>
        <v>-6522.1447200000021</v>
      </c>
      <c r="M243" s="8">
        <f t="shared" si="95"/>
        <v>-267.57100000000014</v>
      </c>
      <c r="N243" s="8">
        <f t="shared" si="95"/>
        <v>-6783.0305088000014</v>
      </c>
      <c r="O243" s="8">
        <f t="shared" si="95"/>
        <v>0</v>
      </c>
      <c r="P243" s="8">
        <f t="shared" si="95"/>
        <v>-7054.3517291520011</v>
      </c>
      <c r="Q243" s="8">
        <f t="shared" si="95"/>
        <v>0</v>
      </c>
      <c r="R243" s="8">
        <f t="shared" si="75"/>
        <v>-19666.946683756007</v>
      </c>
      <c r="S243" s="23">
        <f t="shared" si="89"/>
        <v>-267.57100000000014</v>
      </c>
    </row>
    <row r="244" spans="1:19" s="24" customFormat="1" ht="8.4499999999999993" customHeight="1">
      <c r="A244" s="74" t="s">
        <v>383</v>
      </c>
      <c r="B244" s="75"/>
      <c r="C244" s="90" t="s">
        <v>384</v>
      </c>
      <c r="D244" s="91"/>
      <c r="E244" s="91"/>
      <c r="F244" s="91"/>
      <c r="G244" s="92"/>
      <c r="H244" s="21" t="s">
        <v>23</v>
      </c>
      <c r="I244" s="22"/>
      <c r="J244" s="8"/>
      <c r="K244" s="8"/>
      <c r="L244" s="8"/>
      <c r="M244" s="8"/>
      <c r="N244" s="8"/>
      <c r="O244" s="8"/>
      <c r="P244" s="8"/>
      <c r="Q244" s="8"/>
      <c r="R244" s="8">
        <f t="shared" si="75"/>
        <v>0</v>
      </c>
      <c r="S244" s="23">
        <f t="shared" si="89"/>
        <v>0</v>
      </c>
    </row>
    <row r="245" spans="1:19" s="24" customFormat="1" ht="8.4499999999999993" customHeight="1">
      <c r="A245" s="74" t="s">
        <v>385</v>
      </c>
      <c r="B245" s="75"/>
      <c r="C245" s="90" t="s">
        <v>386</v>
      </c>
      <c r="D245" s="91"/>
      <c r="E245" s="91"/>
      <c r="F245" s="91"/>
      <c r="G245" s="92"/>
      <c r="H245" s="21" t="s">
        <v>23</v>
      </c>
      <c r="I245" s="22"/>
      <c r="J245" s="8"/>
      <c r="K245" s="8"/>
      <c r="L245" s="8"/>
      <c r="M245" s="8"/>
      <c r="N245" s="8"/>
      <c r="O245" s="8"/>
      <c r="P245" s="8"/>
      <c r="Q245" s="8"/>
      <c r="R245" s="8">
        <f t="shared" si="75"/>
        <v>0</v>
      </c>
      <c r="S245" s="23">
        <f t="shared" si="89"/>
        <v>0</v>
      </c>
    </row>
    <row r="246" spans="1:19" s="24" customFormat="1" ht="9" customHeight="1">
      <c r="A246" s="74" t="s">
        <v>387</v>
      </c>
      <c r="B246" s="75"/>
      <c r="C246" s="93" t="s">
        <v>388</v>
      </c>
      <c r="D246" s="94"/>
      <c r="E246" s="94"/>
      <c r="F246" s="94"/>
      <c r="G246" s="95"/>
      <c r="H246" s="21" t="s">
        <v>23</v>
      </c>
      <c r="I246" s="22"/>
      <c r="J246" s="8"/>
      <c r="K246" s="8"/>
      <c r="L246" s="8"/>
      <c r="M246" s="8"/>
      <c r="N246" s="8"/>
      <c r="O246" s="8"/>
      <c r="P246" s="8"/>
      <c r="Q246" s="8"/>
      <c r="R246" s="8">
        <f t="shared" si="75"/>
        <v>0</v>
      </c>
      <c r="S246" s="23">
        <f t="shared" si="89"/>
        <v>0</v>
      </c>
    </row>
    <row r="247" spans="1:19" s="24" customFormat="1" ht="9" customHeight="1">
      <c r="A247" s="74" t="s">
        <v>389</v>
      </c>
      <c r="B247" s="75"/>
      <c r="C247" s="93" t="s">
        <v>390</v>
      </c>
      <c r="D247" s="94"/>
      <c r="E247" s="94"/>
      <c r="F247" s="94"/>
      <c r="G247" s="95"/>
      <c r="H247" s="21" t="s">
        <v>23</v>
      </c>
      <c r="I247" s="22">
        <f t="shared" ref="I247:Q247" si="96">I239+I240+I243+I246</f>
        <v>10.234779984798621</v>
      </c>
      <c r="J247" s="8">
        <f t="shared" si="96"/>
        <v>-1.9497599229093794</v>
      </c>
      <c r="K247" s="8">
        <f t="shared" si="96"/>
        <v>-16.99421307768182</v>
      </c>
      <c r="L247" s="8">
        <f t="shared" si="96"/>
        <v>-6392.5085690882006</v>
      </c>
      <c r="M247" s="8">
        <f t="shared" si="96"/>
        <v>-14.770999999999958</v>
      </c>
      <c r="N247" s="8">
        <f t="shared" si="96"/>
        <v>-6656.1346027713389</v>
      </c>
      <c r="O247" s="8">
        <f t="shared" si="96"/>
        <v>0</v>
      </c>
      <c r="P247" s="8">
        <f t="shared" si="96"/>
        <v>-6929.7536691577852</v>
      </c>
      <c r="Q247" s="8">
        <f t="shared" si="96"/>
        <v>0</v>
      </c>
      <c r="R247" s="8">
        <f t="shared" si="75"/>
        <v>-19987.106034033117</v>
      </c>
      <c r="S247" s="23">
        <f t="shared" si="89"/>
        <v>-14.770999999999958</v>
      </c>
    </row>
    <row r="248" spans="1:19" s="24" customFormat="1" ht="9" customHeight="1">
      <c r="A248" s="74" t="s">
        <v>391</v>
      </c>
      <c r="B248" s="75"/>
      <c r="C248" s="93" t="s">
        <v>392</v>
      </c>
      <c r="D248" s="94"/>
      <c r="E248" s="94"/>
      <c r="F248" s="94"/>
      <c r="G248" s="95"/>
      <c r="H248" s="21" t="s">
        <v>23</v>
      </c>
      <c r="I248" s="22">
        <f>31707/1000</f>
        <v>31.707000000000001</v>
      </c>
      <c r="J248" s="8">
        <v>41.941779984798622</v>
      </c>
      <c r="K248" s="8">
        <v>39.992020061889242</v>
      </c>
      <c r="L248" s="8">
        <v>42.3</v>
      </c>
      <c r="M248" s="8">
        <v>22.997806984207422</v>
      </c>
      <c r="N248" s="8">
        <v>50.7</v>
      </c>
      <c r="O248" s="8"/>
      <c r="P248" s="8">
        <v>45.3</v>
      </c>
      <c r="Q248" s="8"/>
      <c r="R248" s="8">
        <f>I248</f>
        <v>31.707000000000001</v>
      </c>
      <c r="S248" s="23">
        <f t="shared" si="89"/>
        <v>22.997806984207422</v>
      </c>
    </row>
    <row r="249" spans="1:19" s="24" customFormat="1" ht="9" customHeight="1" thickBot="1">
      <c r="A249" s="96" t="s">
        <v>393</v>
      </c>
      <c r="B249" s="97"/>
      <c r="C249" s="169" t="s">
        <v>394</v>
      </c>
      <c r="D249" s="170"/>
      <c r="E249" s="170"/>
      <c r="F249" s="170"/>
      <c r="G249" s="171"/>
      <c r="H249" s="51" t="s">
        <v>23</v>
      </c>
      <c r="I249" s="52">
        <f>I248+I247</f>
        <v>41.941779984798622</v>
      </c>
      <c r="J249" s="10">
        <f t="shared" ref="J249:Q249" si="97">J248+J247</f>
        <v>39.992020061889242</v>
      </c>
      <c r="K249" s="10">
        <f t="shared" si="97"/>
        <v>22.997806984207422</v>
      </c>
      <c r="L249" s="10">
        <f t="shared" si="97"/>
        <v>-6350.2085690882004</v>
      </c>
      <c r="M249" s="10">
        <f t="shared" si="97"/>
        <v>8.2268069842074638</v>
      </c>
      <c r="N249" s="10">
        <f t="shared" si="97"/>
        <v>-6605.4346027713391</v>
      </c>
      <c r="O249" s="10">
        <f t="shared" si="97"/>
        <v>0</v>
      </c>
      <c r="P249" s="10">
        <f t="shared" si="97"/>
        <v>-6884.453669157785</v>
      </c>
      <c r="Q249" s="10">
        <f t="shared" si="97"/>
        <v>0</v>
      </c>
      <c r="R249" s="10">
        <f>P249</f>
        <v>-6884.453669157785</v>
      </c>
      <c r="S249" s="53">
        <f t="shared" si="89"/>
        <v>8.2268069842074638</v>
      </c>
    </row>
    <row r="250" spans="1:19" s="24" customFormat="1" ht="9" customHeight="1">
      <c r="A250" s="107" t="s">
        <v>395</v>
      </c>
      <c r="B250" s="108"/>
      <c r="C250" s="104" t="s">
        <v>114</v>
      </c>
      <c r="D250" s="105"/>
      <c r="E250" s="105"/>
      <c r="F250" s="105"/>
      <c r="G250" s="106"/>
      <c r="H250" s="54" t="s">
        <v>228</v>
      </c>
      <c r="I250" s="55"/>
      <c r="J250" s="11"/>
      <c r="K250" s="11"/>
      <c r="L250" s="11"/>
      <c r="M250" s="11"/>
      <c r="N250" s="11"/>
      <c r="O250" s="11"/>
      <c r="P250" s="11"/>
      <c r="Q250" s="11"/>
      <c r="R250" s="11">
        <f t="shared" si="75"/>
        <v>0</v>
      </c>
      <c r="S250" s="56">
        <f t="shared" si="89"/>
        <v>0</v>
      </c>
    </row>
    <row r="251" spans="1:19" s="24" customFormat="1" ht="8.4499999999999993" customHeight="1">
      <c r="A251" s="74" t="s">
        <v>396</v>
      </c>
      <c r="B251" s="75"/>
      <c r="C251" s="90" t="s">
        <v>397</v>
      </c>
      <c r="D251" s="91"/>
      <c r="E251" s="91"/>
      <c r="F251" s="91"/>
      <c r="G251" s="92"/>
      <c r="H251" s="21" t="s">
        <v>23</v>
      </c>
      <c r="I251" s="22">
        <f t="shared" ref="I251:Q251" si="98">I252+I260+I262+I264+I266+I268+I270+I272+I278</f>
        <v>2850.4589999999998</v>
      </c>
      <c r="J251" s="8">
        <f t="shared" si="98"/>
        <v>2166.4389999999999</v>
      </c>
      <c r="K251" s="8">
        <f t="shared" si="98"/>
        <v>2532.5709999999999</v>
      </c>
      <c r="L251" s="8">
        <f t="shared" si="98"/>
        <v>1849.9601316084957</v>
      </c>
      <c r="M251" s="8">
        <f t="shared" si="98"/>
        <v>2372.7600000000002</v>
      </c>
      <c r="N251" s="8">
        <f t="shared" si="98"/>
        <v>1710.484388193637</v>
      </c>
      <c r="O251" s="8">
        <f t="shared" si="98"/>
        <v>0</v>
      </c>
      <c r="P251" s="8">
        <f t="shared" si="98"/>
        <v>1581.6584654789021</v>
      </c>
      <c r="Q251" s="8">
        <f t="shared" si="98"/>
        <v>0</v>
      </c>
      <c r="R251" s="8">
        <f t="shared" si="75"/>
        <v>12691.571985281034</v>
      </c>
      <c r="S251" s="23">
        <f t="shared" si="89"/>
        <v>2372.7600000000002</v>
      </c>
    </row>
    <row r="252" spans="1:19" s="24" customFormat="1" ht="8.1" customHeight="1">
      <c r="A252" s="74" t="s">
        <v>398</v>
      </c>
      <c r="B252" s="75"/>
      <c r="C252" s="87" t="s">
        <v>399</v>
      </c>
      <c r="D252" s="88"/>
      <c r="E252" s="88"/>
      <c r="F252" s="88"/>
      <c r="G252" s="89"/>
      <c r="H252" s="21" t="s">
        <v>23</v>
      </c>
      <c r="I252" s="22">
        <f t="shared" ref="I252:Q252" si="99">I254+I256+I258</f>
        <v>0</v>
      </c>
      <c r="J252" s="8">
        <f t="shared" si="99"/>
        <v>0</v>
      </c>
      <c r="K252" s="8">
        <f t="shared" si="99"/>
        <v>0</v>
      </c>
      <c r="L252" s="8">
        <f t="shared" si="99"/>
        <v>0</v>
      </c>
      <c r="M252" s="8">
        <f t="shared" si="99"/>
        <v>0</v>
      </c>
      <c r="N252" s="8">
        <f t="shared" si="99"/>
        <v>0</v>
      </c>
      <c r="O252" s="8">
        <f t="shared" si="99"/>
        <v>0</v>
      </c>
      <c r="P252" s="8">
        <f t="shared" si="99"/>
        <v>0</v>
      </c>
      <c r="Q252" s="8">
        <f t="shared" si="99"/>
        <v>0</v>
      </c>
      <c r="R252" s="8">
        <f t="shared" si="75"/>
        <v>0</v>
      </c>
      <c r="S252" s="23">
        <f t="shared" si="89"/>
        <v>0</v>
      </c>
    </row>
    <row r="253" spans="1:19" s="24" customFormat="1" ht="8.1" customHeight="1">
      <c r="A253" s="74" t="s">
        <v>400</v>
      </c>
      <c r="B253" s="75"/>
      <c r="C253" s="78" t="s">
        <v>401</v>
      </c>
      <c r="D253" s="79"/>
      <c r="E253" s="79"/>
      <c r="F253" s="79"/>
      <c r="G253" s="80"/>
      <c r="H253" s="21" t="s">
        <v>23</v>
      </c>
      <c r="I253" s="22"/>
      <c r="J253" s="8"/>
      <c r="K253" s="8"/>
      <c r="L253" s="8"/>
      <c r="M253" s="8"/>
      <c r="N253" s="8"/>
      <c r="O253" s="8"/>
      <c r="P253" s="8"/>
      <c r="Q253" s="8"/>
      <c r="R253" s="8">
        <f t="shared" si="75"/>
        <v>0</v>
      </c>
      <c r="S253" s="23">
        <f t="shared" si="89"/>
        <v>0</v>
      </c>
    </row>
    <row r="254" spans="1:19" s="24" customFormat="1" ht="16.5" customHeight="1">
      <c r="A254" s="74" t="s">
        <v>402</v>
      </c>
      <c r="B254" s="75"/>
      <c r="C254" s="78" t="s">
        <v>27</v>
      </c>
      <c r="D254" s="79"/>
      <c r="E254" s="79"/>
      <c r="F254" s="79"/>
      <c r="G254" s="80"/>
      <c r="H254" s="21" t="s">
        <v>23</v>
      </c>
      <c r="I254" s="22"/>
      <c r="J254" s="8"/>
      <c r="K254" s="8"/>
      <c r="L254" s="8"/>
      <c r="M254" s="8"/>
      <c r="N254" s="8"/>
      <c r="O254" s="8"/>
      <c r="P254" s="8"/>
      <c r="Q254" s="8"/>
      <c r="R254" s="8">
        <f t="shared" si="75"/>
        <v>0</v>
      </c>
      <c r="S254" s="23">
        <f t="shared" si="89"/>
        <v>0</v>
      </c>
    </row>
    <row r="255" spans="1:19" s="24" customFormat="1" ht="8.1" customHeight="1">
      <c r="A255" s="74" t="s">
        <v>403</v>
      </c>
      <c r="B255" s="75"/>
      <c r="C255" s="81" t="s">
        <v>401</v>
      </c>
      <c r="D255" s="82"/>
      <c r="E255" s="82"/>
      <c r="F255" s="82"/>
      <c r="G255" s="83"/>
      <c r="H255" s="21" t="s">
        <v>23</v>
      </c>
      <c r="I255" s="22"/>
      <c r="J255" s="8"/>
      <c r="K255" s="8"/>
      <c r="L255" s="8"/>
      <c r="M255" s="8"/>
      <c r="N255" s="8"/>
      <c r="O255" s="8"/>
      <c r="P255" s="8"/>
      <c r="Q255" s="8"/>
      <c r="R255" s="8">
        <f t="shared" si="75"/>
        <v>0</v>
      </c>
      <c r="S255" s="23">
        <f t="shared" si="89"/>
        <v>0</v>
      </c>
    </row>
    <row r="256" spans="1:19" s="24" customFormat="1" ht="16.5" customHeight="1">
      <c r="A256" s="74" t="s">
        <v>404</v>
      </c>
      <c r="B256" s="75"/>
      <c r="C256" s="78" t="s">
        <v>29</v>
      </c>
      <c r="D256" s="79"/>
      <c r="E256" s="79"/>
      <c r="F256" s="79"/>
      <c r="G256" s="80"/>
      <c r="H256" s="21" t="s">
        <v>23</v>
      </c>
      <c r="I256" s="22"/>
      <c r="J256" s="8"/>
      <c r="K256" s="8"/>
      <c r="L256" s="8"/>
      <c r="M256" s="8"/>
      <c r="N256" s="8"/>
      <c r="O256" s="8"/>
      <c r="P256" s="8"/>
      <c r="Q256" s="8"/>
      <c r="R256" s="8">
        <f t="shared" si="75"/>
        <v>0</v>
      </c>
      <c r="S256" s="23">
        <f t="shared" si="89"/>
        <v>0</v>
      </c>
    </row>
    <row r="257" spans="1:19" s="24" customFormat="1" ht="8.1" customHeight="1">
      <c r="A257" s="74" t="s">
        <v>405</v>
      </c>
      <c r="B257" s="75"/>
      <c r="C257" s="81" t="s">
        <v>401</v>
      </c>
      <c r="D257" s="82"/>
      <c r="E257" s="82"/>
      <c r="F257" s="82"/>
      <c r="G257" s="83"/>
      <c r="H257" s="21" t="s">
        <v>23</v>
      </c>
      <c r="I257" s="22"/>
      <c r="J257" s="8"/>
      <c r="K257" s="8"/>
      <c r="L257" s="8"/>
      <c r="M257" s="8"/>
      <c r="N257" s="8"/>
      <c r="O257" s="8"/>
      <c r="P257" s="8"/>
      <c r="Q257" s="8"/>
      <c r="R257" s="8">
        <f t="shared" si="75"/>
        <v>0</v>
      </c>
      <c r="S257" s="23">
        <f t="shared" si="89"/>
        <v>0</v>
      </c>
    </row>
    <row r="258" spans="1:19" s="24" customFormat="1" ht="16.5" customHeight="1">
      <c r="A258" s="74" t="s">
        <v>406</v>
      </c>
      <c r="B258" s="75"/>
      <c r="C258" s="78" t="s">
        <v>31</v>
      </c>
      <c r="D258" s="79"/>
      <c r="E258" s="79"/>
      <c r="F258" s="79"/>
      <c r="G258" s="80"/>
      <c r="H258" s="21" t="s">
        <v>23</v>
      </c>
      <c r="I258" s="22"/>
      <c r="J258" s="8"/>
      <c r="K258" s="8"/>
      <c r="L258" s="8"/>
      <c r="M258" s="8"/>
      <c r="N258" s="8"/>
      <c r="O258" s="8"/>
      <c r="P258" s="8"/>
      <c r="Q258" s="8"/>
      <c r="R258" s="8">
        <f t="shared" si="75"/>
        <v>0</v>
      </c>
      <c r="S258" s="23">
        <f t="shared" si="89"/>
        <v>0</v>
      </c>
    </row>
    <row r="259" spans="1:19" s="24" customFormat="1" ht="8.1" customHeight="1">
      <c r="A259" s="74" t="s">
        <v>407</v>
      </c>
      <c r="B259" s="75"/>
      <c r="C259" s="81" t="s">
        <v>401</v>
      </c>
      <c r="D259" s="82"/>
      <c r="E259" s="82"/>
      <c r="F259" s="82"/>
      <c r="G259" s="83"/>
      <c r="H259" s="21" t="s">
        <v>23</v>
      </c>
      <c r="I259" s="22"/>
      <c r="J259" s="8"/>
      <c r="K259" s="8"/>
      <c r="L259" s="8"/>
      <c r="M259" s="8"/>
      <c r="N259" s="8"/>
      <c r="O259" s="8"/>
      <c r="P259" s="8"/>
      <c r="Q259" s="8"/>
      <c r="R259" s="8">
        <f t="shared" si="75"/>
        <v>0</v>
      </c>
      <c r="S259" s="23">
        <f t="shared" si="89"/>
        <v>0</v>
      </c>
    </row>
    <row r="260" spans="1:19" s="24" customFormat="1" ht="8.1" customHeight="1">
      <c r="A260" s="74" t="s">
        <v>408</v>
      </c>
      <c r="B260" s="75"/>
      <c r="C260" s="87" t="s">
        <v>409</v>
      </c>
      <c r="D260" s="88"/>
      <c r="E260" s="88"/>
      <c r="F260" s="88"/>
      <c r="G260" s="89"/>
      <c r="H260" s="21" t="s">
        <v>23</v>
      </c>
      <c r="I260" s="22"/>
      <c r="J260" s="8"/>
      <c r="K260" s="8"/>
      <c r="L260" s="8"/>
      <c r="M260" s="8"/>
      <c r="N260" s="8"/>
      <c r="O260" s="8"/>
      <c r="P260" s="8"/>
      <c r="Q260" s="8"/>
      <c r="R260" s="8">
        <f t="shared" si="75"/>
        <v>0</v>
      </c>
      <c r="S260" s="23">
        <f t="shared" si="89"/>
        <v>0</v>
      </c>
    </row>
    <row r="261" spans="1:19" s="24" customFormat="1" ht="8.1" customHeight="1">
      <c r="A261" s="74" t="s">
        <v>410</v>
      </c>
      <c r="B261" s="75"/>
      <c r="C261" s="78" t="s">
        <v>401</v>
      </c>
      <c r="D261" s="79"/>
      <c r="E261" s="79"/>
      <c r="F261" s="79"/>
      <c r="G261" s="80"/>
      <c r="H261" s="21" t="s">
        <v>23</v>
      </c>
      <c r="I261" s="22"/>
      <c r="J261" s="8"/>
      <c r="K261" s="8"/>
      <c r="L261" s="8"/>
      <c r="M261" s="8"/>
      <c r="N261" s="8"/>
      <c r="O261" s="8"/>
      <c r="P261" s="8"/>
      <c r="Q261" s="8"/>
      <c r="R261" s="8">
        <f t="shared" si="75"/>
        <v>0</v>
      </c>
      <c r="S261" s="23">
        <f t="shared" si="89"/>
        <v>0</v>
      </c>
    </row>
    <row r="262" spans="1:19" s="24" customFormat="1" ht="8.1" customHeight="1">
      <c r="A262" s="74" t="s">
        <v>411</v>
      </c>
      <c r="B262" s="75"/>
      <c r="C262" s="87" t="s">
        <v>412</v>
      </c>
      <c r="D262" s="88"/>
      <c r="E262" s="88"/>
      <c r="F262" s="88"/>
      <c r="G262" s="89"/>
      <c r="H262" s="21" t="s">
        <v>23</v>
      </c>
      <c r="I262" s="22"/>
      <c r="J262" s="8"/>
      <c r="K262" s="8"/>
      <c r="L262" s="8"/>
      <c r="M262" s="8"/>
      <c r="N262" s="8"/>
      <c r="O262" s="8"/>
      <c r="P262" s="8"/>
      <c r="Q262" s="8"/>
      <c r="R262" s="8">
        <f t="shared" si="75"/>
        <v>0</v>
      </c>
      <c r="S262" s="23">
        <f t="shared" si="89"/>
        <v>0</v>
      </c>
    </row>
    <row r="263" spans="1:19" s="24" customFormat="1" ht="8.1" customHeight="1">
      <c r="A263" s="74" t="s">
        <v>413</v>
      </c>
      <c r="B263" s="75"/>
      <c r="C263" s="78" t="s">
        <v>401</v>
      </c>
      <c r="D263" s="79"/>
      <c r="E263" s="79"/>
      <c r="F263" s="79"/>
      <c r="G263" s="80"/>
      <c r="H263" s="21" t="s">
        <v>23</v>
      </c>
      <c r="I263" s="22"/>
      <c r="J263" s="8"/>
      <c r="K263" s="8"/>
      <c r="L263" s="8"/>
      <c r="M263" s="8"/>
      <c r="N263" s="8"/>
      <c r="O263" s="8"/>
      <c r="P263" s="8"/>
      <c r="Q263" s="8"/>
      <c r="R263" s="8">
        <f t="shared" si="75"/>
        <v>0</v>
      </c>
      <c r="S263" s="23">
        <f t="shared" si="89"/>
        <v>0</v>
      </c>
    </row>
    <row r="264" spans="1:19" s="24" customFormat="1" ht="8.1" customHeight="1">
      <c r="A264" s="74" t="s">
        <v>414</v>
      </c>
      <c r="B264" s="75"/>
      <c r="C264" s="87" t="s">
        <v>415</v>
      </c>
      <c r="D264" s="88"/>
      <c r="E264" s="88"/>
      <c r="F264" s="88"/>
      <c r="G264" s="89"/>
      <c r="H264" s="21" t="s">
        <v>23</v>
      </c>
      <c r="I264" s="22"/>
      <c r="J264" s="8"/>
      <c r="K264" s="8"/>
      <c r="L264" s="8"/>
      <c r="M264" s="8"/>
      <c r="N264" s="8"/>
      <c r="O264" s="8"/>
      <c r="P264" s="8"/>
      <c r="Q264" s="8"/>
      <c r="R264" s="8">
        <f t="shared" si="75"/>
        <v>0</v>
      </c>
      <c r="S264" s="23">
        <f t="shared" si="89"/>
        <v>0</v>
      </c>
    </row>
    <row r="265" spans="1:19" s="24" customFormat="1" ht="8.1" customHeight="1">
      <c r="A265" s="74" t="s">
        <v>416</v>
      </c>
      <c r="B265" s="75"/>
      <c r="C265" s="78" t="s">
        <v>401</v>
      </c>
      <c r="D265" s="79"/>
      <c r="E265" s="79"/>
      <c r="F265" s="79"/>
      <c r="G265" s="80"/>
      <c r="H265" s="21" t="s">
        <v>23</v>
      </c>
      <c r="I265" s="22"/>
      <c r="J265" s="8"/>
      <c r="K265" s="8"/>
      <c r="L265" s="8"/>
      <c r="M265" s="8"/>
      <c r="N265" s="8"/>
      <c r="O265" s="8"/>
      <c r="P265" s="8"/>
      <c r="Q265" s="8"/>
      <c r="R265" s="8">
        <f t="shared" si="75"/>
        <v>0</v>
      </c>
      <c r="S265" s="23">
        <f t="shared" si="89"/>
        <v>0</v>
      </c>
    </row>
    <row r="266" spans="1:19" s="24" customFormat="1" ht="8.1" customHeight="1">
      <c r="A266" s="74" t="s">
        <v>417</v>
      </c>
      <c r="B266" s="75"/>
      <c r="C266" s="87" t="s">
        <v>418</v>
      </c>
      <c r="D266" s="88"/>
      <c r="E266" s="88"/>
      <c r="F266" s="88"/>
      <c r="G266" s="89"/>
      <c r="H266" s="21" t="s">
        <v>23</v>
      </c>
      <c r="I266" s="22"/>
      <c r="J266" s="8"/>
      <c r="K266" s="8"/>
      <c r="L266" s="8"/>
      <c r="M266" s="8"/>
      <c r="N266" s="8"/>
      <c r="O266" s="8"/>
      <c r="P266" s="8"/>
      <c r="Q266" s="8"/>
      <c r="R266" s="8">
        <f t="shared" si="75"/>
        <v>0</v>
      </c>
      <c r="S266" s="23">
        <f t="shared" si="89"/>
        <v>0</v>
      </c>
    </row>
    <row r="267" spans="1:19" s="24" customFormat="1" ht="8.1" customHeight="1">
      <c r="A267" s="74" t="s">
        <v>419</v>
      </c>
      <c r="B267" s="75"/>
      <c r="C267" s="78" t="s">
        <v>401</v>
      </c>
      <c r="D267" s="79"/>
      <c r="E267" s="79"/>
      <c r="F267" s="79"/>
      <c r="G267" s="80"/>
      <c r="H267" s="21" t="s">
        <v>23</v>
      </c>
      <c r="I267" s="22"/>
      <c r="J267" s="8"/>
      <c r="K267" s="8"/>
      <c r="L267" s="8"/>
      <c r="M267" s="8"/>
      <c r="N267" s="8"/>
      <c r="O267" s="8"/>
      <c r="P267" s="8"/>
      <c r="Q267" s="8"/>
      <c r="R267" s="8">
        <f t="shared" si="75"/>
        <v>0</v>
      </c>
      <c r="S267" s="23">
        <f t="shared" si="89"/>
        <v>0</v>
      </c>
    </row>
    <row r="268" spans="1:19" s="24" customFormat="1" ht="8.1" customHeight="1">
      <c r="A268" s="74" t="s">
        <v>420</v>
      </c>
      <c r="B268" s="75"/>
      <c r="C268" s="87" t="s">
        <v>421</v>
      </c>
      <c r="D268" s="88"/>
      <c r="E268" s="88"/>
      <c r="F268" s="88"/>
      <c r="G268" s="89"/>
      <c r="H268" s="21" t="s">
        <v>23</v>
      </c>
      <c r="I268" s="22">
        <f>2850459/1000-I278</f>
        <v>2841.22</v>
      </c>
      <c r="J268" s="8">
        <f>2166439/1000-J278</f>
        <v>2155.163</v>
      </c>
      <c r="K268" s="8">
        <v>2242.7139999999999</v>
      </c>
      <c r="L268" s="8">
        <v>1839.9366116084957</v>
      </c>
      <c r="M268" s="8">
        <f>2176.245</f>
        <v>2176.2449999999999</v>
      </c>
      <c r="N268" s="8">
        <v>1700.0599273936371</v>
      </c>
      <c r="O268" s="8"/>
      <c r="P268" s="8">
        <v>1570.8170262469021</v>
      </c>
      <c r="Q268" s="8"/>
      <c r="R268" s="8">
        <f t="shared" si="75"/>
        <v>12349.910565249033</v>
      </c>
      <c r="S268" s="23">
        <f t="shared" si="89"/>
        <v>2176.2449999999999</v>
      </c>
    </row>
    <row r="269" spans="1:19" s="24" customFormat="1" ht="8.1" customHeight="1">
      <c r="A269" s="74" t="s">
        <v>422</v>
      </c>
      <c r="B269" s="75"/>
      <c r="C269" s="78" t="s">
        <v>401</v>
      </c>
      <c r="D269" s="79"/>
      <c r="E269" s="79"/>
      <c r="F269" s="79"/>
      <c r="G269" s="80"/>
      <c r="H269" s="21" t="s">
        <v>23</v>
      </c>
      <c r="I269" s="22">
        <f>831104.695900234/1000</f>
        <v>831.10469590023399</v>
      </c>
      <c r="J269" s="8">
        <f>1394015/1000</f>
        <v>1394.0150000000001</v>
      </c>
      <c r="K269" s="8">
        <f>K268-383.9548</f>
        <v>1858.7592</v>
      </c>
      <c r="L269" s="8">
        <v>538.21244326964677</v>
      </c>
      <c r="M269" s="8">
        <f>M268-402.3279</f>
        <v>1773.9170999999999</v>
      </c>
      <c r="N269" s="8">
        <v>497.29615762547871</v>
      </c>
      <c r="O269" s="8"/>
      <c r="P269" s="8">
        <v>459.49043260072835</v>
      </c>
      <c r="Q269" s="8"/>
      <c r="R269" s="8">
        <f t="shared" si="75"/>
        <v>5578.877929396087</v>
      </c>
      <c r="S269" s="23">
        <f t="shared" si="89"/>
        <v>1773.9170999999999</v>
      </c>
    </row>
    <row r="270" spans="1:19" s="24" customFormat="1" ht="8.1" customHeight="1">
      <c r="A270" s="74" t="s">
        <v>420</v>
      </c>
      <c r="B270" s="75"/>
      <c r="C270" s="87" t="s">
        <v>423</v>
      </c>
      <c r="D270" s="88"/>
      <c r="E270" s="88"/>
      <c r="F270" s="88"/>
      <c r="G270" s="89"/>
      <c r="H270" s="21" t="s">
        <v>23</v>
      </c>
      <c r="I270" s="22"/>
      <c r="J270" s="8"/>
      <c r="K270" s="8"/>
      <c r="L270" s="8"/>
      <c r="M270" s="8"/>
      <c r="N270" s="8"/>
      <c r="O270" s="8"/>
      <c r="P270" s="8"/>
      <c r="Q270" s="8"/>
      <c r="R270" s="8">
        <f t="shared" si="75"/>
        <v>0</v>
      </c>
      <c r="S270" s="23">
        <f t="shared" si="89"/>
        <v>0</v>
      </c>
    </row>
    <row r="271" spans="1:19" s="24" customFormat="1" ht="8.1" customHeight="1">
      <c r="A271" s="74" t="s">
        <v>424</v>
      </c>
      <c r="B271" s="75"/>
      <c r="C271" s="78" t="s">
        <v>401</v>
      </c>
      <c r="D271" s="79"/>
      <c r="E271" s="79"/>
      <c r="F271" s="79"/>
      <c r="G271" s="80"/>
      <c r="H271" s="21" t="s">
        <v>23</v>
      </c>
      <c r="I271" s="22"/>
      <c r="J271" s="8"/>
      <c r="K271" s="8"/>
      <c r="L271" s="8"/>
      <c r="M271" s="8"/>
      <c r="N271" s="8"/>
      <c r="O271" s="8"/>
      <c r="P271" s="8"/>
      <c r="Q271" s="8"/>
      <c r="R271" s="8">
        <f t="shared" si="75"/>
        <v>0</v>
      </c>
      <c r="S271" s="23">
        <f t="shared" si="89"/>
        <v>0</v>
      </c>
    </row>
    <row r="272" spans="1:19" s="24" customFormat="1" ht="16.5" customHeight="1">
      <c r="A272" s="74" t="s">
        <v>425</v>
      </c>
      <c r="B272" s="75"/>
      <c r="C272" s="87" t="s">
        <v>426</v>
      </c>
      <c r="D272" s="88"/>
      <c r="E272" s="88"/>
      <c r="F272" s="88"/>
      <c r="G272" s="89"/>
      <c r="H272" s="21" t="s">
        <v>23</v>
      </c>
      <c r="I272" s="22"/>
      <c r="J272" s="8"/>
      <c r="K272" s="8"/>
      <c r="L272" s="8"/>
      <c r="M272" s="8"/>
      <c r="N272" s="8"/>
      <c r="O272" s="8"/>
      <c r="P272" s="8"/>
      <c r="Q272" s="8"/>
      <c r="R272" s="8">
        <f t="shared" si="75"/>
        <v>0</v>
      </c>
      <c r="S272" s="23">
        <f t="shared" si="89"/>
        <v>0</v>
      </c>
    </row>
    <row r="273" spans="1:19" s="24" customFormat="1" ht="8.1" customHeight="1">
      <c r="A273" s="74" t="s">
        <v>427</v>
      </c>
      <c r="B273" s="75"/>
      <c r="C273" s="78" t="s">
        <v>401</v>
      </c>
      <c r="D273" s="79"/>
      <c r="E273" s="79"/>
      <c r="F273" s="79"/>
      <c r="G273" s="80"/>
      <c r="H273" s="21" t="s">
        <v>23</v>
      </c>
      <c r="I273" s="22"/>
      <c r="J273" s="8"/>
      <c r="K273" s="8"/>
      <c r="L273" s="8"/>
      <c r="M273" s="8"/>
      <c r="N273" s="8"/>
      <c r="O273" s="8"/>
      <c r="P273" s="8"/>
      <c r="Q273" s="8"/>
      <c r="R273" s="8">
        <f t="shared" si="75"/>
        <v>0</v>
      </c>
      <c r="S273" s="23">
        <f t="shared" si="89"/>
        <v>0</v>
      </c>
    </row>
    <row r="274" spans="1:19" s="24" customFormat="1" ht="8.1" customHeight="1">
      <c r="A274" s="74" t="s">
        <v>428</v>
      </c>
      <c r="B274" s="75"/>
      <c r="C274" s="78" t="s">
        <v>47</v>
      </c>
      <c r="D274" s="79"/>
      <c r="E274" s="79"/>
      <c r="F274" s="79"/>
      <c r="G274" s="80"/>
      <c r="H274" s="21" t="s">
        <v>23</v>
      </c>
      <c r="I274" s="22"/>
      <c r="J274" s="8"/>
      <c r="K274" s="8"/>
      <c r="L274" s="8"/>
      <c r="M274" s="8"/>
      <c r="N274" s="8"/>
      <c r="O274" s="8"/>
      <c r="P274" s="8"/>
      <c r="Q274" s="8"/>
      <c r="R274" s="8">
        <f t="shared" si="75"/>
        <v>0</v>
      </c>
      <c r="S274" s="23">
        <f t="shared" si="89"/>
        <v>0</v>
      </c>
    </row>
    <row r="275" spans="1:19" s="24" customFormat="1" ht="8.1" customHeight="1">
      <c r="A275" s="74" t="s">
        <v>429</v>
      </c>
      <c r="B275" s="75"/>
      <c r="C275" s="81" t="s">
        <v>401</v>
      </c>
      <c r="D275" s="82"/>
      <c r="E275" s="82"/>
      <c r="F275" s="82"/>
      <c r="G275" s="83"/>
      <c r="H275" s="21" t="s">
        <v>23</v>
      </c>
      <c r="I275" s="22"/>
      <c r="J275" s="8"/>
      <c r="K275" s="8"/>
      <c r="L275" s="8"/>
      <c r="M275" s="8"/>
      <c r="N275" s="8"/>
      <c r="O275" s="8"/>
      <c r="P275" s="8"/>
      <c r="Q275" s="8"/>
      <c r="R275" s="8">
        <f t="shared" si="75"/>
        <v>0</v>
      </c>
      <c r="S275" s="23">
        <f t="shared" si="89"/>
        <v>0</v>
      </c>
    </row>
    <row r="276" spans="1:19" s="24" customFormat="1" ht="8.1" customHeight="1">
      <c r="A276" s="74" t="s">
        <v>430</v>
      </c>
      <c r="B276" s="75"/>
      <c r="C276" s="78" t="s">
        <v>49</v>
      </c>
      <c r="D276" s="79"/>
      <c r="E276" s="79"/>
      <c r="F276" s="79"/>
      <c r="G276" s="80"/>
      <c r="H276" s="21" t="s">
        <v>23</v>
      </c>
      <c r="I276" s="22"/>
      <c r="J276" s="8"/>
      <c r="K276" s="8"/>
      <c r="L276" s="8"/>
      <c r="M276" s="8"/>
      <c r="N276" s="8"/>
      <c r="O276" s="8"/>
      <c r="P276" s="8"/>
      <c r="Q276" s="8"/>
      <c r="R276" s="8">
        <f t="shared" si="75"/>
        <v>0</v>
      </c>
      <c r="S276" s="23">
        <f t="shared" si="89"/>
        <v>0</v>
      </c>
    </row>
    <row r="277" spans="1:19" s="24" customFormat="1" ht="8.1" customHeight="1">
      <c r="A277" s="74" t="s">
        <v>431</v>
      </c>
      <c r="B277" s="75"/>
      <c r="C277" s="81" t="s">
        <v>401</v>
      </c>
      <c r="D277" s="82"/>
      <c r="E277" s="82"/>
      <c r="F277" s="82"/>
      <c r="G277" s="83"/>
      <c r="H277" s="21" t="s">
        <v>23</v>
      </c>
      <c r="I277" s="22"/>
      <c r="J277" s="8"/>
      <c r="K277" s="8"/>
      <c r="L277" s="8"/>
      <c r="M277" s="8"/>
      <c r="N277" s="8"/>
      <c r="O277" s="8"/>
      <c r="P277" s="8"/>
      <c r="Q277" s="8"/>
      <c r="R277" s="8">
        <f t="shared" si="75"/>
        <v>0</v>
      </c>
      <c r="S277" s="23">
        <f t="shared" si="89"/>
        <v>0</v>
      </c>
    </row>
    <row r="278" spans="1:19" s="24" customFormat="1" ht="8.1" customHeight="1">
      <c r="A278" s="74" t="s">
        <v>432</v>
      </c>
      <c r="B278" s="75"/>
      <c r="C278" s="87" t="s">
        <v>433</v>
      </c>
      <c r="D278" s="88"/>
      <c r="E278" s="88"/>
      <c r="F278" s="88"/>
      <c r="G278" s="89"/>
      <c r="H278" s="21" t="s">
        <v>23</v>
      </c>
      <c r="I278" s="22">
        <f>9239/1000</f>
        <v>9.2390000000000008</v>
      </c>
      <c r="J278" s="8">
        <f>11276/1000</f>
        <v>11.276</v>
      </c>
      <c r="K278" s="8">
        <f>2532.571-K268</f>
        <v>289.85699999999997</v>
      </c>
      <c r="L278" s="8">
        <v>10.02352</v>
      </c>
      <c r="M278" s="8">
        <f>2372.76-M268</f>
        <v>196.51500000000033</v>
      </c>
      <c r="N278" s="8">
        <v>10.4244608</v>
      </c>
      <c r="O278" s="8"/>
      <c r="P278" s="8">
        <v>10.841439232000001</v>
      </c>
      <c r="Q278" s="8"/>
      <c r="R278" s="8">
        <f t="shared" si="75"/>
        <v>341.66142003200002</v>
      </c>
      <c r="S278" s="23">
        <f t="shared" si="89"/>
        <v>196.51500000000033</v>
      </c>
    </row>
    <row r="279" spans="1:19" s="24" customFormat="1" ht="8.1" customHeight="1">
      <c r="A279" s="74" t="s">
        <v>434</v>
      </c>
      <c r="B279" s="75"/>
      <c r="C279" s="78" t="s">
        <v>401</v>
      </c>
      <c r="D279" s="79"/>
      <c r="E279" s="79"/>
      <c r="F279" s="79"/>
      <c r="G279" s="80"/>
      <c r="H279" s="21" t="s">
        <v>23</v>
      </c>
      <c r="I279" s="22">
        <v>0</v>
      </c>
      <c r="J279" s="8">
        <v>0</v>
      </c>
      <c r="K279" s="8">
        <v>0</v>
      </c>
      <c r="L279" s="8"/>
      <c r="M279" s="8">
        <v>0</v>
      </c>
      <c r="N279" s="8"/>
      <c r="O279" s="8"/>
      <c r="P279" s="8"/>
      <c r="Q279" s="8"/>
      <c r="R279" s="8">
        <f t="shared" si="75"/>
        <v>0</v>
      </c>
      <c r="S279" s="23">
        <f t="shared" si="89"/>
        <v>0</v>
      </c>
    </row>
    <row r="280" spans="1:19" s="24" customFormat="1" ht="8.1" customHeight="1">
      <c r="A280" s="74" t="s">
        <v>435</v>
      </c>
      <c r="B280" s="75"/>
      <c r="C280" s="90" t="s">
        <v>436</v>
      </c>
      <c r="D280" s="91"/>
      <c r="E280" s="91"/>
      <c r="F280" s="91"/>
      <c r="G280" s="92"/>
      <c r="H280" s="21" t="s">
        <v>23</v>
      </c>
      <c r="I280" s="22">
        <f>I281+I283+I288+I290+I292+I294+I296+I298+I300</f>
        <v>3003.7365273019404</v>
      </c>
      <c r="J280" s="8">
        <f>J281+J283+J288+J290+J292+J294+J296+J298+J300</f>
        <v>1996.0284046018401</v>
      </c>
      <c r="K280" s="8">
        <f t="shared" ref="K280:Q280" si="100">K281+K283+K288+K290+K292+K294+K296+K298+K300</f>
        <v>2043.8019999999999</v>
      </c>
      <c r="L280" s="8">
        <f t="shared" si="100"/>
        <v>1663.2028901372969</v>
      </c>
      <c r="M280" s="8">
        <f t="shared" si="100"/>
        <v>2035.7950000000001</v>
      </c>
      <c r="N280" s="8">
        <f t="shared" si="100"/>
        <v>1560.0977250562098</v>
      </c>
      <c r="O280" s="8">
        <f t="shared" si="100"/>
        <v>0</v>
      </c>
      <c r="P280" s="8">
        <f t="shared" si="100"/>
        <v>1470.2008648952212</v>
      </c>
      <c r="Q280" s="8">
        <f t="shared" si="100"/>
        <v>0</v>
      </c>
      <c r="R280" s="8">
        <f t="shared" si="75"/>
        <v>11737.06841199251</v>
      </c>
      <c r="S280" s="23">
        <f t="shared" si="89"/>
        <v>2035.7950000000001</v>
      </c>
    </row>
    <row r="281" spans="1:19" s="24" customFormat="1" ht="8.1" customHeight="1">
      <c r="A281" s="74" t="s">
        <v>437</v>
      </c>
      <c r="B281" s="75"/>
      <c r="C281" s="87" t="s">
        <v>438</v>
      </c>
      <c r="D281" s="88"/>
      <c r="E281" s="88"/>
      <c r="F281" s="88"/>
      <c r="G281" s="89"/>
      <c r="H281" s="21" t="s">
        <v>23</v>
      </c>
      <c r="I281" s="22"/>
      <c r="J281" s="8"/>
      <c r="K281" s="8"/>
      <c r="L281" s="8"/>
      <c r="M281" s="8"/>
      <c r="N281" s="8"/>
      <c r="O281" s="8"/>
      <c r="P281" s="8"/>
      <c r="Q281" s="8"/>
      <c r="R281" s="8">
        <f t="shared" si="75"/>
        <v>0</v>
      </c>
      <c r="S281" s="23">
        <f t="shared" si="89"/>
        <v>0</v>
      </c>
    </row>
    <row r="282" spans="1:19" s="24" customFormat="1" ht="8.1" customHeight="1">
      <c r="A282" s="74" t="s">
        <v>439</v>
      </c>
      <c r="B282" s="75"/>
      <c r="C282" s="78" t="s">
        <v>401</v>
      </c>
      <c r="D282" s="79"/>
      <c r="E282" s="79"/>
      <c r="F282" s="79"/>
      <c r="G282" s="80"/>
      <c r="H282" s="21" t="s">
        <v>23</v>
      </c>
      <c r="I282" s="22"/>
      <c r="J282" s="8"/>
      <c r="K282" s="8"/>
      <c r="L282" s="8"/>
      <c r="M282" s="8"/>
      <c r="N282" s="8"/>
      <c r="O282" s="8"/>
      <c r="P282" s="8"/>
      <c r="Q282" s="8"/>
      <c r="R282" s="8">
        <f t="shared" si="75"/>
        <v>0</v>
      </c>
      <c r="S282" s="23">
        <f t="shared" si="89"/>
        <v>0</v>
      </c>
    </row>
    <row r="283" spans="1:19" s="24" customFormat="1" ht="8.1" customHeight="1">
      <c r="A283" s="74" t="s">
        <v>440</v>
      </c>
      <c r="B283" s="75"/>
      <c r="C283" s="87" t="s">
        <v>441</v>
      </c>
      <c r="D283" s="88"/>
      <c r="E283" s="88"/>
      <c r="F283" s="88"/>
      <c r="G283" s="89"/>
      <c r="H283" s="21" t="s">
        <v>23</v>
      </c>
      <c r="I283" s="22">
        <f t="shared" ref="I283:Q283" si="101">I284+I286</f>
        <v>536.63651261159691</v>
      </c>
      <c r="J283" s="8">
        <f t="shared" si="101"/>
        <v>341.48776416700002</v>
      </c>
      <c r="K283" s="8">
        <f t="shared" si="101"/>
        <v>397.601</v>
      </c>
      <c r="L283" s="8">
        <f t="shared" si="101"/>
        <v>363.9869408344</v>
      </c>
      <c r="M283" s="8">
        <f t="shared" si="101"/>
        <v>269.64979999999997</v>
      </c>
      <c r="N283" s="8">
        <f t="shared" si="101"/>
        <v>378.54641846777599</v>
      </c>
      <c r="O283" s="8">
        <f t="shared" si="101"/>
        <v>0</v>
      </c>
      <c r="P283" s="8">
        <f t="shared" si="101"/>
        <v>393.68827520648705</v>
      </c>
      <c r="Q283" s="8">
        <f t="shared" si="101"/>
        <v>0</v>
      </c>
      <c r="R283" s="8">
        <f t="shared" si="75"/>
        <v>2411.9469112872598</v>
      </c>
      <c r="S283" s="23">
        <f t="shared" si="89"/>
        <v>269.64979999999997</v>
      </c>
    </row>
    <row r="284" spans="1:19" s="24" customFormat="1" ht="8.1" customHeight="1">
      <c r="A284" s="74" t="s">
        <v>442</v>
      </c>
      <c r="B284" s="75"/>
      <c r="C284" s="78" t="s">
        <v>271</v>
      </c>
      <c r="D284" s="79"/>
      <c r="E284" s="79"/>
      <c r="F284" s="79"/>
      <c r="G284" s="80"/>
      <c r="H284" s="21" t="s">
        <v>23</v>
      </c>
      <c r="I284" s="22">
        <f>536636.512611597/1000</f>
        <v>536.63651261159691</v>
      </c>
      <c r="J284" s="8">
        <f>341487.764167/1000</f>
        <v>341.48776416700002</v>
      </c>
      <c r="K284" s="8">
        <v>394.93099999999998</v>
      </c>
      <c r="L284" s="8">
        <v>363.9869408344</v>
      </c>
      <c r="M284" s="8">
        <v>267.34879999999998</v>
      </c>
      <c r="N284" s="8">
        <v>378.54641846777599</v>
      </c>
      <c r="O284" s="8"/>
      <c r="P284" s="8">
        <v>393.68827520648705</v>
      </c>
      <c r="Q284" s="8"/>
      <c r="R284" s="8">
        <f t="shared" si="75"/>
        <v>2409.2769112872597</v>
      </c>
      <c r="S284" s="23">
        <f t="shared" si="89"/>
        <v>267.34879999999998</v>
      </c>
    </row>
    <row r="285" spans="1:19" s="24" customFormat="1" ht="8.1" customHeight="1">
      <c r="A285" s="74" t="s">
        <v>443</v>
      </c>
      <c r="B285" s="75"/>
      <c r="C285" s="81" t="s">
        <v>401</v>
      </c>
      <c r="D285" s="82"/>
      <c r="E285" s="82"/>
      <c r="F285" s="82"/>
      <c r="G285" s="83"/>
      <c r="H285" s="21" t="s">
        <v>23</v>
      </c>
      <c r="I285" s="22"/>
      <c r="J285" s="8"/>
      <c r="K285" s="8">
        <v>0</v>
      </c>
      <c r="L285" s="8"/>
      <c r="M285" s="8">
        <v>0</v>
      </c>
      <c r="N285" s="8"/>
      <c r="O285" s="8"/>
      <c r="P285" s="8"/>
      <c r="Q285" s="8"/>
      <c r="R285" s="8">
        <f t="shared" si="75"/>
        <v>0</v>
      </c>
      <c r="S285" s="23">
        <f t="shared" si="89"/>
        <v>0</v>
      </c>
    </row>
    <row r="286" spans="1:19" s="24" customFormat="1" ht="8.1" customHeight="1">
      <c r="A286" s="74" t="s">
        <v>444</v>
      </c>
      <c r="B286" s="75"/>
      <c r="C286" s="78" t="s">
        <v>445</v>
      </c>
      <c r="D286" s="79"/>
      <c r="E286" s="79"/>
      <c r="F286" s="79"/>
      <c r="G286" s="80"/>
      <c r="H286" s="21" t="s">
        <v>23</v>
      </c>
      <c r="I286" s="22"/>
      <c r="J286" s="8"/>
      <c r="K286" s="8">
        <v>2.67</v>
      </c>
      <c r="L286" s="8"/>
      <c r="M286" s="8">
        <v>2.3010000000000002</v>
      </c>
      <c r="N286" s="8"/>
      <c r="O286" s="8"/>
      <c r="P286" s="8"/>
      <c r="Q286" s="8"/>
      <c r="R286" s="8">
        <f t="shared" si="75"/>
        <v>2.67</v>
      </c>
      <c r="S286" s="23">
        <f t="shared" si="89"/>
        <v>2.3010000000000002</v>
      </c>
    </row>
    <row r="287" spans="1:19" s="24" customFormat="1" ht="8.1" customHeight="1">
      <c r="A287" s="74" t="s">
        <v>446</v>
      </c>
      <c r="B287" s="75"/>
      <c r="C287" s="81" t="s">
        <v>401</v>
      </c>
      <c r="D287" s="82"/>
      <c r="E287" s="82"/>
      <c r="F287" s="82"/>
      <c r="G287" s="83"/>
      <c r="H287" s="21" t="s">
        <v>23</v>
      </c>
      <c r="I287" s="22"/>
      <c r="J287" s="8"/>
      <c r="K287" s="8">
        <v>0</v>
      </c>
      <c r="L287" s="8"/>
      <c r="M287" s="8">
        <v>0</v>
      </c>
      <c r="N287" s="8"/>
      <c r="O287" s="8"/>
      <c r="P287" s="8"/>
      <c r="Q287" s="8"/>
      <c r="R287" s="8">
        <f t="shared" si="75"/>
        <v>0</v>
      </c>
      <c r="S287" s="23">
        <f t="shared" si="89"/>
        <v>0</v>
      </c>
    </row>
    <row r="288" spans="1:19" s="24" customFormat="1" ht="16.5" customHeight="1">
      <c r="A288" s="74" t="s">
        <v>447</v>
      </c>
      <c r="B288" s="75"/>
      <c r="C288" s="87" t="s">
        <v>448</v>
      </c>
      <c r="D288" s="88"/>
      <c r="E288" s="88"/>
      <c r="F288" s="88"/>
      <c r="G288" s="89"/>
      <c r="H288" s="21" t="s">
        <v>23</v>
      </c>
      <c r="I288" s="22"/>
      <c r="J288" s="8"/>
      <c r="K288" s="8"/>
      <c r="L288" s="8"/>
      <c r="M288" s="8"/>
      <c r="N288" s="8"/>
      <c r="O288" s="8"/>
      <c r="P288" s="8"/>
      <c r="Q288" s="8"/>
      <c r="R288" s="8">
        <f t="shared" si="75"/>
        <v>0</v>
      </c>
      <c r="S288" s="23">
        <f t="shared" si="89"/>
        <v>0</v>
      </c>
    </row>
    <row r="289" spans="1:19" s="24" customFormat="1" ht="8.1" customHeight="1">
      <c r="A289" s="74" t="s">
        <v>449</v>
      </c>
      <c r="B289" s="75"/>
      <c r="C289" s="78" t="s">
        <v>401</v>
      </c>
      <c r="D289" s="79"/>
      <c r="E289" s="79"/>
      <c r="F289" s="79"/>
      <c r="G289" s="80"/>
      <c r="H289" s="21" t="s">
        <v>23</v>
      </c>
      <c r="I289" s="22"/>
      <c r="J289" s="8"/>
      <c r="K289" s="8"/>
      <c r="L289" s="8"/>
      <c r="M289" s="8"/>
      <c r="N289" s="8"/>
      <c r="O289" s="8"/>
      <c r="P289" s="8"/>
      <c r="Q289" s="8"/>
      <c r="R289" s="8">
        <f t="shared" si="75"/>
        <v>0</v>
      </c>
      <c r="S289" s="23">
        <f t="shared" si="89"/>
        <v>0</v>
      </c>
    </row>
    <row r="290" spans="1:19" s="24" customFormat="1" ht="8.1" customHeight="1">
      <c r="A290" s="74" t="s">
        <v>450</v>
      </c>
      <c r="B290" s="75"/>
      <c r="C290" s="87" t="s">
        <v>451</v>
      </c>
      <c r="D290" s="88"/>
      <c r="E290" s="88"/>
      <c r="F290" s="88"/>
      <c r="G290" s="89"/>
      <c r="H290" s="21" t="s">
        <v>23</v>
      </c>
      <c r="I290" s="22">
        <f>1806569/1000</f>
        <v>1806.569</v>
      </c>
      <c r="J290" s="8">
        <f>1480135.90198/1000</f>
        <v>1480.13590198</v>
      </c>
      <c r="K290" s="8">
        <v>1365.9469999999999</v>
      </c>
      <c r="L290" s="8">
        <v>1193.118730137297</v>
      </c>
      <c r="M290" s="8">
        <f>1612.7473</f>
        <v>1612.7473</v>
      </c>
      <c r="N290" s="8">
        <v>1071.21019865621</v>
      </c>
      <c r="O290" s="8"/>
      <c r="P290" s="8">
        <v>961.75783743922136</v>
      </c>
      <c r="Q290" s="8"/>
      <c r="R290" s="8">
        <f t="shared" si="75"/>
        <v>7878.738668212729</v>
      </c>
      <c r="S290" s="23">
        <f t="shared" si="89"/>
        <v>1612.7473</v>
      </c>
    </row>
    <row r="291" spans="1:19" s="24" customFormat="1" ht="8.1" customHeight="1">
      <c r="A291" s="74" t="s">
        <v>452</v>
      </c>
      <c r="B291" s="75"/>
      <c r="C291" s="78" t="s">
        <v>401</v>
      </c>
      <c r="D291" s="79"/>
      <c r="E291" s="79"/>
      <c r="F291" s="79"/>
      <c r="G291" s="80"/>
      <c r="H291" s="21" t="s">
        <v>23</v>
      </c>
      <c r="I291" s="22">
        <f>418266/1000</f>
        <v>418.26600000000002</v>
      </c>
      <c r="J291" s="8">
        <f>858727/1000</f>
        <v>858.72699999999998</v>
      </c>
      <c r="K291" s="8">
        <v>127.07899999999999</v>
      </c>
      <c r="L291" s="8">
        <v>692.20891568405102</v>
      </c>
      <c r="M291" s="8">
        <v>200.006</v>
      </c>
      <c r="N291" s="8">
        <v>621.48152681852923</v>
      </c>
      <c r="O291" s="8"/>
      <c r="P291" s="8">
        <v>557.98080525299622</v>
      </c>
      <c r="Q291" s="8"/>
      <c r="R291" s="8">
        <f t="shared" si="75"/>
        <v>3275.7432477555762</v>
      </c>
      <c r="S291" s="23">
        <f t="shared" si="89"/>
        <v>200.006</v>
      </c>
    </row>
    <row r="292" spans="1:19" s="24" customFormat="1" ht="8.1" customHeight="1">
      <c r="A292" s="74" t="s">
        <v>453</v>
      </c>
      <c r="B292" s="75"/>
      <c r="C292" s="87" t="s">
        <v>454</v>
      </c>
      <c r="D292" s="88"/>
      <c r="E292" s="88"/>
      <c r="F292" s="88"/>
      <c r="G292" s="89"/>
      <c r="H292" s="21" t="s">
        <v>23</v>
      </c>
      <c r="I292" s="22">
        <f>11550/1000</f>
        <v>11.55</v>
      </c>
      <c r="J292" s="8">
        <f>13222/1000</f>
        <v>13.222</v>
      </c>
      <c r="K292" s="8">
        <v>13.618</v>
      </c>
      <c r="L292" s="8">
        <v>30.578080000000003</v>
      </c>
      <c r="M292" s="8">
        <v>17.309000000000001</v>
      </c>
      <c r="N292" s="8">
        <v>31.801203200000003</v>
      </c>
      <c r="O292" s="8"/>
      <c r="P292" s="8">
        <v>33.073251328000005</v>
      </c>
      <c r="Q292" s="8"/>
      <c r="R292" s="8">
        <f t="shared" si="75"/>
        <v>133.84253452800002</v>
      </c>
      <c r="S292" s="23">
        <f t="shared" ref="S292:S314" si="102">M292+O292+Q292</f>
        <v>17.309000000000001</v>
      </c>
    </row>
    <row r="293" spans="1:19" s="24" customFormat="1" ht="8.1" customHeight="1">
      <c r="A293" s="74" t="s">
        <v>455</v>
      </c>
      <c r="B293" s="75"/>
      <c r="C293" s="78" t="s">
        <v>401</v>
      </c>
      <c r="D293" s="79"/>
      <c r="E293" s="79"/>
      <c r="F293" s="79"/>
      <c r="G293" s="80"/>
      <c r="H293" s="21" t="s">
        <v>23</v>
      </c>
      <c r="I293" s="22"/>
      <c r="J293" s="8"/>
      <c r="K293" s="8"/>
      <c r="L293" s="8"/>
      <c r="M293" s="8"/>
      <c r="N293" s="8"/>
      <c r="O293" s="8"/>
      <c r="P293" s="8"/>
      <c r="Q293" s="8"/>
      <c r="R293" s="8">
        <f t="shared" si="75"/>
        <v>0</v>
      </c>
      <c r="S293" s="23">
        <f t="shared" si="102"/>
        <v>0</v>
      </c>
    </row>
    <row r="294" spans="1:19" s="24" customFormat="1" ht="8.1" customHeight="1">
      <c r="A294" s="74" t="s">
        <v>456</v>
      </c>
      <c r="B294" s="75"/>
      <c r="C294" s="87" t="s">
        <v>457</v>
      </c>
      <c r="D294" s="88"/>
      <c r="E294" s="88"/>
      <c r="F294" s="88"/>
      <c r="G294" s="89"/>
      <c r="H294" s="21" t="s">
        <v>23</v>
      </c>
      <c r="I294" s="22">
        <f>6689/1000+2608/1000</f>
        <v>9.2970000000000006</v>
      </c>
      <c r="J294" s="8">
        <v>10.978</v>
      </c>
      <c r="K294" s="8">
        <v>23.123000000000001</v>
      </c>
      <c r="L294" s="8">
        <v>17.496960000000001</v>
      </c>
      <c r="M294" s="8">
        <v>9.8759999999999994</v>
      </c>
      <c r="N294" s="8">
        <v>18.196838400000001</v>
      </c>
      <c r="O294" s="8"/>
      <c r="P294" s="8">
        <v>18.924711936000001</v>
      </c>
      <c r="Q294" s="8"/>
      <c r="R294" s="8">
        <f t="shared" si="75"/>
        <v>98.01651033600001</v>
      </c>
      <c r="S294" s="23">
        <f t="shared" si="102"/>
        <v>9.8759999999999994</v>
      </c>
    </row>
    <row r="295" spans="1:19" s="24" customFormat="1" ht="8.1" customHeight="1">
      <c r="A295" s="74" t="s">
        <v>458</v>
      </c>
      <c r="B295" s="75"/>
      <c r="C295" s="78" t="s">
        <v>401</v>
      </c>
      <c r="D295" s="79"/>
      <c r="E295" s="79"/>
      <c r="F295" s="79"/>
      <c r="G295" s="80"/>
      <c r="H295" s="21" t="s">
        <v>23</v>
      </c>
      <c r="I295" s="22"/>
      <c r="J295" s="8"/>
      <c r="K295" s="8"/>
      <c r="L295" s="8"/>
      <c r="M295" s="8"/>
      <c r="N295" s="8"/>
      <c r="O295" s="8"/>
      <c r="P295" s="8"/>
      <c r="Q295" s="8"/>
      <c r="R295" s="8">
        <f t="shared" si="75"/>
        <v>0</v>
      </c>
      <c r="S295" s="23">
        <f t="shared" si="102"/>
        <v>0</v>
      </c>
    </row>
    <row r="296" spans="1:19" s="24" customFormat="1" ht="8.1" customHeight="1">
      <c r="A296" s="74" t="s">
        <v>459</v>
      </c>
      <c r="B296" s="75"/>
      <c r="C296" s="87" t="s">
        <v>460</v>
      </c>
      <c r="D296" s="88"/>
      <c r="E296" s="88"/>
      <c r="F296" s="88"/>
      <c r="G296" s="89"/>
      <c r="H296" s="21" t="s">
        <v>23</v>
      </c>
      <c r="I296" s="22"/>
      <c r="J296" s="8"/>
      <c r="K296" s="8"/>
      <c r="L296" s="8"/>
      <c r="M296" s="8"/>
      <c r="N296" s="8"/>
      <c r="O296" s="8"/>
      <c r="P296" s="8"/>
      <c r="Q296" s="8"/>
      <c r="R296" s="8">
        <f t="shared" si="75"/>
        <v>0</v>
      </c>
      <c r="S296" s="23">
        <f t="shared" si="102"/>
        <v>0</v>
      </c>
    </row>
    <row r="297" spans="1:19" s="24" customFormat="1" ht="8.1" customHeight="1">
      <c r="A297" s="74" t="s">
        <v>461</v>
      </c>
      <c r="B297" s="75"/>
      <c r="C297" s="78" t="s">
        <v>401</v>
      </c>
      <c r="D297" s="79"/>
      <c r="E297" s="79"/>
      <c r="F297" s="79"/>
      <c r="G297" s="80"/>
      <c r="H297" s="21" t="s">
        <v>23</v>
      </c>
      <c r="I297" s="22"/>
      <c r="J297" s="8"/>
      <c r="K297" s="8"/>
      <c r="L297" s="8"/>
      <c r="M297" s="8"/>
      <c r="N297" s="8"/>
      <c r="O297" s="8"/>
      <c r="P297" s="8"/>
      <c r="Q297" s="8"/>
      <c r="R297" s="8">
        <f t="shared" si="75"/>
        <v>0</v>
      </c>
      <c r="S297" s="23">
        <f t="shared" si="102"/>
        <v>0</v>
      </c>
    </row>
    <row r="298" spans="1:19" s="24" customFormat="1" ht="16.5" customHeight="1">
      <c r="A298" s="74" t="s">
        <v>462</v>
      </c>
      <c r="B298" s="75"/>
      <c r="C298" s="87" t="s">
        <v>463</v>
      </c>
      <c r="D298" s="88"/>
      <c r="E298" s="88"/>
      <c r="F298" s="88"/>
      <c r="G298" s="89"/>
      <c r="H298" s="21" t="s">
        <v>23</v>
      </c>
      <c r="I298" s="22"/>
      <c r="J298" s="8"/>
      <c r="K298" s="8"/>
      <c r="L298" s="8"/>
      <c r="M298" s="8"/>
      <c r="N298" s="8"/>
      <c r="O298" s="8"/>
      <c r="P298" s="8"/>
      <c r="Q298" s="8"/>
      <c r="R298" s="8">
        <f t="shared" si="75"/>
        <v>0</v>
      </c>
      <c r="S298" s="23">
        <f t="shared" si="102"/>
        <v>0</v>
      </c>
    </row>
    <row r="299" spans="1:19" s="24" customFormat="1" ht="8.1" customHeight="1">
      <c r="A299" s="74" t="s">
        <v>464</v>
      </c>
      <c r="B299" s="75"/>
      <c r="C299" s="78" t="s">
        <v>401</v>
      </c>
      <c r="D299" s="79"/>
      <c r="E299" s="79"/>
      <c r="F299" s="79"/>
      <c r="G299" s="80"/>
      <c r="H299" s="21" t="s">
        <v>23</v>
      </c>
      <c r="I299" s="22"/>
      <c r="J299" s="8"/>
      <c r="K299" s="8"/>
      <c r="L299" s="8"/>
      <c r="M299" s="8"/>
      <c r="N299" s="8"/>
      <c r="O299" s="8"/>
      <c r="P299" s="8"/>
      <c r="Q299" s="8"/>
      <c r="R299" s="8">
        <f t="shared" si="75"/>
        <v>0</v>
      </c>
      <c r="S299" s="23">
        <f t="shared" si="102"/>
        <v>0</v>
      </c>
    </row>
    <row r="300" spans="1:19" s="24" customFormat="1" ht="8.1" customHeight="1">
      <c r="A300" s="74" t="s">
        <v>465</v>
      </c>
      <c r="B300" s="75"/>
      <c r="C300" s="87" t="s">
        <v>466</v>
      </c>
      <c r="D300" s="88"/>
      <c r="E300" s="88"/>
      <c r="F300" s="88"/>
      <c r="G300" s="89"/>
      <c r="H300" s="21" t="s">
        <v>23</v>
      </c>
      <c r="I300" s="22">
        <f>3003736.52730194/1000-I283-I290-I292-I294</f>
        <v>639.68401469034302</v>
      </c>
      <c r="J300" s="8">
        <f>1996028.40460184/1000-J283-J290-J292-J294</f>
        <v>150.20473845484005</v>
      </c>
      <c r="K300" s="8">
        <f>2043.802-K283-K290-K292-K294</f>
        <v>243.51300000000015</v>
      </c>
      <c r="L300" s="8">
        <v>58.022179165599951</v>
      </c>
      <c r="M300" s="8">
        <f>2035.795-M283-M290-M292-M294</f>
        <v>126.21290000000016</v>
      </c>
      <c r="N300" s="8">
        <v>60.343066332223948</v>
      </c>
      <c r="O300" s="8"/>
      <c r="P300" s="8">
        <v>62.756788985512905</v>
      </c>
      <c r="Q300" s="8"/>
      <c r="R300" s="8">
        <f t="shared" si="75"/>
        <v>1214.52378762852</v>
      </c>
      <c r="S300" s="23">
        <f t="shared" si="102"/>
        <v>126.21290000000016</v>
      </c>
    </row>
    <row r="301" spans="1:19" s="24" customFormat="1" ht="8.1" customHeight="1">
      <c r="A301" s="74" t="s">
        <v>467</v>
      </c>
      <c r="B301" s="75"/>
      <c r="C301" s="78" t="s">
        <v>401</v>
      </c>
      <c r="D301" s="79"/>
      <c r="E301" s="79"/>
      <c r="F301" s="79"/>
      <c r="G301" s="80"/>
      <c r="H301" s="21" t="s">
        <v>23</v>
      </c>
      <c r="I301" s="22">
        <f>2975/1000</f>
        <v>2.9750000000000001</v>
      </c>
      <c r="J301" s="8">
        <v>0</v>
      </c>
      <c r="K301" s="8">
        <v>0</v>
      </c>
      <c r="L301" s="8"/>
      <c r="M301" s="8"/>
      <c r="N301" s="8"/>
      <c r="O301" s="8"/>
      <c r="P301" s="8"/>
      <c r="Q301" s="8"/>
      <c r="R301" s="8">
        <f t="shared" si="75"/>
        <v>2.9750000000000001</v>
      </c>
      <c r="S301" s="23">
        <f t="shared" si="102"/>
        <v>0</v>
      </c>
    </row>
    <row r="302" spans="1:19" s="24" customFormat="1" ht="17.100000000000001" customHeight="1">
      <c r="A302" s="74" t="s">
        <v>468</v>
      </c>
      <c r="B302" s="75"/>
      <c r="C302" s="90" t="s">
        <v>469</v>
      </c>
      <c r="D302" s="91"/>
      <c r="E302" s="91"/>
      <c r="F302" s="91"/>
      <c r="G302" s="92"/>
      <c r="H302" s="21" t="s">
        <v>470</v>
      </c>
      <c r="I302" s="22">
        <f t="shared" ref="I302:R302" si="103">I310</f>
        <v>93.913078683540846</v>
      </c>
      <c r="J302" s="8">
        <f t="shared" si="103"/>
        <v>103.27307382648094</v>
      </c>
      <c r="K302" s="8">
        <f t="shared" si="103"/>
        <v>97.361810188255532</v>
      </c>
      <c r="L302" s="8">
        <f t="shared" si="103"/>
        <v>102.43381685280781</v>
      </c>
      <c r="M302" s="8">
        <f t="shared" si="103"/>
        <v>107.63798964573819</v>
      </c>
      <c r="N302" s="8">
        <f t="shared" si="103"/>
        <v>101.95420664452716</v>
      </c>
      <c r="O302" s="8">
        <f t="shared" si="103"/>
        <v>0</v>
      </c>
      <c r="P302" s="8">
        <f t="shared" si="103"/>
        <v>101.87395437092465</v>
      </c>
      <c r="Q302" s="8">
        <f t="shared" si="103"/>
        <v>0</v>
      </c>
      <c r="R302" s="8">
        <f t="shared" si="103"/>
        <v>99.886696239937649</v>
      </c>
      <c r="S302" s="23">
        <f t="shared" si="102"/>
        <v>107.63798964573819</v>
      </c>
    </row>
    <row r="303" spans="1:19" s="24" customFormat="1" ht="8.1" customHeight="1">
      <c r="A303" s="74" t="s">
        <v>471</v>
      </c>
      <c r="B303" s="75"/>
      <c r="C303" s="87" t="s">
        <v>472</v>
      </c>
      <c r="D303" s="88"/>
      <c r="E303" s="88"/>
      <c r="F303" s="88"/>
      <c r="G303" s="89"/>
      <c r="H303" s="21" t="s">
        <v>470</v>
      </c>
      <c r="I303" s="22"/>
      <c r="J303" s="8"/>
      <c r="K303" s="8"/>
      <c r="L303" s="8"/>
      <c r="M303" s="8"/>
      <c r="N303" s="8"/>
      <c r="O303" s="8"/>
      <c r="P303" s="8"/>
      <c r="Q303" s="8"/>
      <c r="R303" s="8">
        <f t="shared" si="75"/>
        <v>0</v>
      </c>
      <c r="S303" s="23">
        <f t="shared" si="102"/>
        <v>0</v>
      </c>
    </row>
    <row r="304" spans="1:19" s="24" customFormat="1" ht="17.100000000000001" customHeight="1">
      <c r="A304" s="74" t="s">
        <v>473</v>
      </c>
      <c r="B304" s="75"/>
      <c r="C304" s="87" t="s">
        <v>474</v>
      </c>
      <c r="D304" s="88"/>
      <c r="E304" s="88"/>
      <c r="F304" s="88"/>
      <c r="G304" s="89"/>
      <c r="H304" s="21" t="s">
        <v>470</v>
      </c>
      <c r="I304" s="22"/>
      <c r="J304" s="8"/>
      <c r="K304" s="8"/>
      <c r="L304" s="8"/>
      <c r="M304" s="8"/>
      <c r="N304" s="8"/>
      <c r="O304" s="8"/>
      <c r="P304" s="8"/>
      <c r="Q304" s="8"/>
      <c r="R304" s="8">
        <f t="shared" si="75"/>
        <v>0</v>
      </c>
      <c r="S304" s="23">
        <f t="shared" si="102"/>
        <v>0</v>
      </c>
    </row>
    <row r="305" spans="1:19" s="24" customFormat="1" ht="17.100000000000001" customHeight="1">
      <c r="A305" s="74" t="s">
        <v>475</v>
      </c>
      <c r="B305" s="75"/>
      <c r="C305" s="87" t="s">
        <v>476</v>
      </c>
      <c r="D305" s="88"/>
      <c r="E305" s="88"/>
      <c r="F305" s="88"/>
      <c r="G305" s="89"/>
      <c r="H305" s="21" t="s">
        <v>470</v>
      </c>
      <c r="I305" s="22"/>
      <c r="J305" s="8"/>
      <c r="K305" s="8"/>
      <c r="L305" s="8"/>
      <c r="M305" s="8"/>
      <c r="N305" s="8"/>
      <c r="O305" s="8"/>
      <c r="P305" s="8"/>
      <c r="Q305" s="8"/>
      <c r="R305" s="8">
        <f t="shared" si="75"/>
        <v>0</v>
      </c>
      <c r="S305" s="23">
        <f t="shared" si="102"/>
        <v>0</v>
      </c>
    </row>
    <row r="306" spans="1:19" s="24" customFormat="1" ht="17.100000000000001" customHeight="1">
      <c r="A306" s="74" t="s">
        <v>477</v>
      </c>
      <c r="B306" s="75"/>
      <c r="C306" s="87" t="s">
        <v>478</v>
      </c>
      <c r="D306" s="88"/>
      <c r="E306" s="88"/>
      <c r="F306" s="88"/>
      <c r="G306" s="89"/>
      <c r="H306" s="21" t="s">
        <v>470</v>
      </c>
      <c r="I306" s="22"/>
      <c r="J306" s="8"/>
      <c r="K306" s="8"/>
      <c r="L306" s="8"/>
      <c r="M306" s="8"/>
      <c r="N306" s="8"/>
      <c r="O306" s="8"/>
      <c r="P306" s="8"/>
      <c r="Q306" s="8"/>
      <c r="R306" s="8">
        <f t="shared" si="75"/>
        <v>0</v>
      </c>
      <c r="S306" s="23">
        <f t="shared" si="102"/>
        <v>0</v>
      </c>
    </row>
    <row r="307" spans="1:19" s="24" customFormat="1" ht="8.1" customHeight="1">
      <c r="A307" s="74" t="s">
        <v>479</v>
      </c>
      <c r="B307" s="75"/>
      <c r="C307" s="87" t="s">
        <v>480</v>
      </c>
      <c r="D307" s="88"/>
      <c r="E307" s="88"/>
      <c r="F307" s="88"/>
      <c r="G307" s="89"/>
      <c r="H307" s="21" t="s">
        <v>470</v>
      </c>
      <c r="I307" s="22"/>
      <c r="J307" s="8"/>
      <c r="K307" s="8"/>
      <c r="L307" s="8"/>
      <c r="M307" s="8"/>
      <c r="N307" s="8"/>
      <c r="O307" s="8"/>
      <c r="P307" s="8"/>
      <c r="Q307" s="8"/>
      <c r="R307" s="8">
        <f t="shared" si="75"/>
        <v>0</v>
      </c>
      <c r="S307" s="23">
        <f t="shared" si="102"/>
        <v>0</v>
      </c>
    </row>
    <row r="308" spans="1:19" s="24" customFormat="1" ht="8.1" customHeight="1">
      <c r="A308" s="74" t="s">
        <v>481</v>
      </c>
      <c r="B308" s="75"/>
      <c r="C308" s="87" t="s">
        <v>482</v>
      </c>
      <c r="D308" s="88"/>
      <c r="E308" s="88"/>
      <c r="F308" s="88"/>
      <c r="G308" s="89"/>
      <c r="H308" s="21" t="s">
        <v>470</v>
      </c>
      <c r="I308" s="22"/>
      <c r="J308" s="8"/>
      <c r="K308" s="8"/>
      <c r="L308" s="8"/>
      <c r="M308" s="8"/>
      <c r="N308" s="8"/>
      <c r="O308" s="8"/>
      <c r="P308" s="8"/>
      <c r="Q308" s="8"/>
      <c r="R308" s="8">
        <f t="shared" si="75"/>
        <v>0</v>
      </c>
      <c r="S308" s="23">
        <f t="shared" si="102"/>
        <v>0</v>
      </c>
    </row>
    <row r="309" spans="1:19" s="24" customFormat="1" ht="8.1" customHeight="1">
      <c r="A309" s="74" t="s">
        <v>483</v>
      </c>
      <c r="B309" s="75"/>
      <c r="C309" s="87" t="s">
        <v>484</v>
      </c>
      <c r="D309" s="88"/>
      <c r="E309" s="88"/>
      <c r="F309" s="88"/>
      <c r="G309" s="89"/>
      <c r="H309" s="21" t="s">
        <v>470</v>
      </c>
      <c r="I309" s="22"/>
      <c r="J309" s="8"/>
      <c r="K309" s="8"/>
      <c r="L309" s="8"/>
      <c r="M309" s="8"/>
      <c r="N309" s="8"/>
      <c r="O309" s="8"/>
      <c r="P309" s="8"/>
      <c r="Q309" s="8"/>
      <c r="R309" s="8">
        <f t="shared" si="75"/>
        <v>0</v>
      </c>
      <c r="S309" s="23">
        <f t="shared" si="102"/>
        <v>0</v>
      </c>
    </row>
    <row r="310" spans="1:19" s="24" customFormat="1" ht="8.1" customHeight="1">
      <c r="A310" s="74" t="s">
        <v>485</v>
      </c>
      <c r="B310" s="75"/>
      <c r="C310" s="87" t="s">
        <v>486</v>
      </c>
      <c r="D310" s="88"/>
      <c r="E310" s="88"/>
      <c r="F310" s="88"/>
      <c r="G310" s="89"/>
      <c r="H310" s="21" t="s">
        <v>470</v>
      </c>
      <c r="I310" s="22">
        <f>IF(I20=0,0,I164/(I20*1.18)*100)</f>
        <v>93.913078683540846</v>
      </c>
      <c r="J310" s="8">
        <f>IF(J20=0,0,J164/(J20*1.18)*100)</f>
        <v>103.27307382648094</v>
      </c>
      <c r="K310" s="8">
        <f t="shared" ref="K310:R310" si="104">IF(K20=0,0,K164/(K20*1.18)*100)</f>
        <v>97.361810188255532</v>
      </c>
      <c r="L310" s="8">
        <f t="shared" si="104"/>
        <v>102.43381685280781</v>
      </c>
      <c r="M310" s="8">
        <f t="shared" si="104"/>
        <v>107.63798964573819</v>
      </c>
      <c r="N310" s="8">
        <f t="shared" si="104"/>
        <v>101.95420664452716</v>
      </c>
      <c r="O310" s="8">
        <f t="shared" si="104"/>
        <v>0</v>
      </c>
      <c r="P310" s="8">
        <f t="shared" si="104"/>
        <v>101.87395437092465</v>
      </c>
      <c r="Q310" s="8">
        <f t="shared" si="104"/>
        <v>0</v>
      </c>
      <c r="R310" s="8">
        <f t="shared" si="104"/>
        <v>99.886696239937649</v>
      </c>
      <c r="S310" s="23">
        <f t="shared" si="102"/>
        <v>107.63798964573819</v>
      </c>
    </row>
    <row r="311" spans="1:19" s="24" customFormat="1" ht="8.1" customHeight="1">
      <c r="A311" s="74" t="s">
        <v>487</v>
      </c>
      <c r="B311" s="75"/>
      <c r="C311" s="87" t="s">
        <v>488</v>
      </c>
      <c r="D311" s="88"/>
      <c r="E311" s="88"/>
      <c r="F311" s="88"/>
      <c r="G311" s="89"/>
      <c r="H311" s="21" t="s">
        <v>470</v>
      </c>
      <c r="I311" s="22"/>
      <c r="J311" s="8"/>
      <c r="K311" s="8"/>
      <c r="L311" s="8"/>
      <c r="M311" s="8"/>
      <c r="N311" s="8"/>
      <c r="O311" s="8"/>
      <c r="P311" s="8"/>
      <c r="Q311" s="8"/>
      <c r="R311" s="8">
        <f t="shared" si="75"/>
        <v>0</v>
      </c>
      <c r="S311" s="23">
        <f t="shared" si="102"/>
        <v>0</v>
      </c>
    </row>
    <row r="312" spans="1:19" s="24" customFormat="1" ht="16.5" customHeight="1">
      <c r="A312" s="74" t="s">
        <v>489</v>
      </c>
      <c r="B312" s="75"/>
      <c r="C312" s="87" t="s">
        <v>490</v>
      </c>
      <c r="D312" s="88"/>
      <c r="E312" s="88"/>
      <c r="F312" s="88"/>
      <c r="G312" s="89"/>
      <c r="H312" s="21" t="s">
        <v>470</v>
      </c>
      <c r="I312" s="22"/>
      <c r="J312" s="8"/>
      <c r="K312" s="8"/>
      <c r="L312" s="8"/>
      <c r="M312" s="8"/>
      <c r="N312" s="8"/>
      <c r="O312" s="8"/>
      <c r="P312" s="8"/>
      <c r="Q312" s="8"/>
      <c r="R312" s="8">
        <f t="shared" si="75"/>
        <v>0</v>
      </c>
      <c r="S312" s="23">
        <f t="shared" si="102"/>
        <v>0</v>
      </c>
    </row>
    <row r="313" spans="1:19" s="24" customFormat="1" ht="8.1" customHeight="1">
      <c r="A313" s="74" t="s">
        <v>491</v>
      </c>
      <c r="B313" s="75"/>
      <c r="C313" s="78" t="s">
        <v>47</v>
      </c>
      <c r="D313" s="79"/>
      <c r="E313" s="79"/>
      <c r="F313" s="79"/>
      <c r="G313" s="80"/>
      <c r="H313" s="21" t="s">
        <v>470</v>
      </c>
      <c r="I313" s="22"/>
      <c r="J313" s="8"/>
      <c r="K313" s="8"/>
      <c r="L313" s="8"/>
      <c r="M313" s="8"/>
      <c r="N313" s="8"/>
      <c r="O313" s="8"/>
      <c r="P313" s="8"/>
      <c r="Q313" s="8"/>
      <c r="R313" s="8">
        <f t="shared" si="75"/>
        <v>0</v>
      </c>
      <c r="S313" s="23">
        <f t="shared" si="102"/>
        <v>0</v>
      </c>
    </row>
    <row r="314" spans="1:19" s="24" customFormat="1" ht="9" customHeight="1" thickBot="1">
      <c r="A314" s="96" t="s">
        <v>492</v>
      </c>
      <c r="B314" s="97"/>
      <c r="C314" s="122" t="s">
        <v>49</v>
      </c>
      <c r="D314" s="123"/>
      <c r="E314" s="123"/>
      <c r="F314" s="123"/>
      <c r="G314" s="124"/>
      <c r="H314" s="51" t="s">
        <v>470</v>
      </c>
      <c r="I314" s="52"/>
      <c r="J314" s="10"/>
      <c r="K314" s="10"/>
      <c r="L314" s="10"/>
      <c r="M314" s="10"/>
      <c r="N314" s="10"/>
      <c r="O314" s="10"/>
      <c r="P314" s="10"/>
      <c r="Q314" s="10"/>
      <c r="R314" s="10">
        <f t="shared" si="75"/>
        <v>0</v>
      </c>
      <c r="S314" s="53">
        <f t="shared" si="102"/>
        <v>0</v>
      </c>
    </row>
    <row r="315" spans="1:19" s="24" customFormat="1" ht="10.5" customHeight="1" thickBot="1">
      <c r="A315" s="112" t="s">
        <v>493</v>
      </c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4"/>
    </row>
    <row r="316" spans="1:19" s="24" customFormat="1" ht="15.75" customHeight="1">
      <c r="A316" s="74" t="s">
        <v>494</v>
      </c>
      <c r="B316" s="75"/>
      <c r="C316" s="93" t="s">
        <v>495</v>
      </c>
      <c r="D316" s="94"/>
      <c r="E316" s="94"/>
      <c r="F316" s="94"/>
      <c r="G316" s="95"/>
      <c r="H316" s="21" t="s">
        <v>228</v>
      </c>
      <c r="I316" s="58" t="s">
        <v>496</v>
      </c>
      <c r="J316" s="12" t="s">
        <v>496</v>
      </c>
      <c r="K316" s="12" t="s">
        <v>496</v>
      </c>
      <c r="L316" s="12" t="s">
        <v>496</v>
      </c>
      <c r="M316" s="12" t="s">
        <v>496</v>
      </c>
      <c r="N316" s="12" t="s">
        <v>496</v>
      </c>
      <c r="O316" s="12" t="s">
        <v>496</v>
      </c>
      <c r="P316" s="12" t="s">
        <v>496</v>
      </c>
      <c r="Q316" s="12" t="s">
        <v>496</v>
      </c>
      <c r="R316" s="12" t="s">
        <v>496</v>
      </c>
      <c r="S316" s="21" t="s">
        <v>496</v>
      </c>
    </row>
    <row r="317" spans="1:19" s="24" customFormat="1" ht="8.25" customHeight="1">
      <c r="A317" s="74" t="s">
        <v>497</v>
      </c>
      <c r="B317" s="75"/>
      <c r="C317" s="90" t="s">
        <v>498</v>
      </c>
      <c r="D317" s="91"/>
      <c r="E317" s="91"/>
      <c r="F317" s="91"/>
      <c r="G317" s="92"/>
      <c r="H317" s="21" t="s">
        <v>499</v>
      </c>
      <c r="I317" s="58"/>
      <c r="J317" s="12"/>
      <c r="K317" s="12"/>
      <c r="L317" s="12"/>
      <c r="M317" s="12"/>
      <c r="N317" s="12"/>
      <c r="O317" s="12"/>
      <c r="P317" s="12"/>
      <c r="Q317" s="12"/>
      <c r="R317" s="12">
        <f t="shared" ref="R317:R321" si="105">I317+J317+K317+L317+N317+P317</f>
        <v>0</v>
      </c>
      <c r="S317" s="21">
        <f t="shared" ref="S317:S321" si="106">M317+O317+Q317</f>
        <v>0</v>
      </c>
    </row>
    <row r="318" spans="1:19" s="24" customFormat="1" ht="8.25" customHeight="1">
      <c r="A318" s="74" t="s">
        <v>500</v>
      </c>
      <c r="B318" s="75"/>
      <c r="C318" s="90" t="s">
        <v>501</v>
      </c>
      <c r="D318" s="91"/>
      <c r="E318" s="91"/>
      <c r="F318" s="91"/>
      <c r="G318" s="92"/>
      <c r="H318" s="21" t="s">
        <v>502</v>
      </c>
      <c r="I318" s="58"/>
      <c r="J318" s="12"/>
      <c r="K318" s="12"/>
      <c r="L318" s="12"/>
      <c r="M318" s="12"/>
      <c r="N318" s="12"/>
      <c r="O318" s="12"/>
      <c r="P318" s="12"/>
      <c r="Q318" s="12"/>
      <c r="R318" s="12">
        <f t="shared" si="105"/>
        <v>0</v>
      </c>
      <c r="S318" s="21">
        <f t="shared" si="106"/>
        <v>0</v>
      </c>
    </row>
    <row r="319" spans="1:19" s="24" customFormat="1" ht="8.25" customHeight="1">
      <c r="A319" s="74" t="s">
        <v>503</v>
      </c>
      <c r="B319" s="75"/>
      <c r="C319" s="90" t="s">
        <v>504</v>
      </c>
      <c r="D319" s="91"/>
      <c r="E319" s="91"/>
      <c r="F319" s="91"/>
      <c r="G319" s="92"/>
      <c r="H319" s="21" t="s">
        <v>499</v>
      </c>
      <c r="I319" s="58"/>
      <c r="J319" s="12"/>
      <c r="K319" s="12"/>
      <c r="L319" s="12"/>
      <c r="M319" s="12"/>
      <c r="N319" s="12"/>
      <c r="O319" s="12"/>
      <c r="P319" s="12"/>
      <c r="Q319" s="12"/>
      <c r="R319" s="12">
        <f t="shared" si="105"/>
        <v>0</v>
      </c>
      <c r="S319" s="21">
        <f t="shared" si="106"/>
        <v>0</v>
      </c>
    </row>
    <row r="320" spans="1:19" s="24" customFormat="1" ht="8.25" customHeight="1">
      <c r="A320" s="74" t="s">
        <v>505</v>
      </c>
      <c r="B320" s="75"/>
      <c r="C320" s="90" t="s">
        <v>506</v>
      </c>
      <c r="D320" s="91"/>
      <c r="E320" s="91"/>
      <c r="F320" s="91"/>
      <c r="G320" s="92"/>
      <c r="H320" s="21" t="s">
        <v>502</v>
      </c>
      <c r="I320" s="58"/>
      <c r="J320" s="12"/>
      <c r="K320" s="12"/>
      <c r="L320" s="12"/>
      <c r="M320" s="12"/>
      <c r="N320" s="12"/>
      <c r="O320" s="12"/>
      <c r="P320" s="12"/>
      <c r="Q320" s="12"/>
      <c r="R320" s="12">
        <f t="shared" si="105"/>
        <v>0</v>
      </c>
      <c r="S320" s="21">
        <f t="shared" si="106"/>
        <v>0</v>
      </c>
    </row>
    <row r="321" spans="1:19" s="24" customFormat="1" ht="8.25" customHeight="1">
      <c r="A321" s="74" t="s">
        <v>507</v>
      </c>
      <c r="B321" s="75"/>
      <c r="C321" s="90" t="s">
        <v>508</v>
      </c>
      <c r="D321" s="91"/>
      <c r="E321" s="91"/>
      <c r="F321" s="91"/>
      <c r="G321" s="92"/>
      <c r="H321" s="21" t="s">
        <v>509</v>
      </c>
      <c r="I321" s="58"/>
      <c r="J321" s="12"/>
      <c r="K321" s="12"/>
      <c r="L321" s="12"/>
      <c r="M321" s="12"/>
      <c r="N321" s="12"/>
      <c r="O321" s="12"/>
      <c r="P321" s="12"/>
      <c r="Q321" s="12"/>
      <c r="R321" s="12">
        <f t="shared" si="105"/>
        <v>0</v>
      </c>
      <c r="S321" s="21">
        <f t="shared" si="106"/>
        <v>0</v>
      </c>
    </row>
    <row r="322" spans="1:19" s="24" customFormat="1" ht="8.25" customHeight="1">
      <c r="A322" s="74" t="s">
        <v>510</v>
      </c>
      <c r="B322" s="75"/>
      <c r="C322" s="90" t="s">
        <v>511</v>
      </c>
      <c r="D322" s="91"/>
      <c r="E322" s="91"/>
      <c r="F322" s="91"/>
      <c r="G322" s="92"/>
      <c r="H322" s="21" t="s">
        <v>228</v>
      </c>
      <c r="I322" s="58" t="s">
        <v>496</v>
      </c>
      <c r="J322" s="12" t="s">
        <v>496</v>
      </c>
      <c r="K322" s="12" t="s">
        <v>496</v>
      </c>
      <c r="L322" s="12" t="s">
        <v>496</v>
      </c>
      <c r="M322" s="12" t="s">
        <v>496</v>
      </c>
      <c r="N322" s="12" t="s">
        <v>496</v>
      </c>
      <c r="O322" s="12" t="s">
        <v>496</v>
      </c>
      <c r="P322" s="12" t="s">
        <v>496</v>
      </c>
      <c r="Q322" s="12" t="s">
        <v>496</v>
      </c>
      <c r="R322" s="12" t="s">
        <v>496</v>
      </c>
      <c r="S322" s="21" t="s">
        <v>496</v>
      </c>
    </row>
    <row r="323" spans="1:19" s="24" customFormat="1" ht="8.1" customHeight="1">
      <c r="A323" s="74" t="s">
        <v>512</v>
      </c>
      <c r="B323" s="75"/>
      <c r="C323" s="87" t="s">
        <v>513</v>
      </c>
      <c r="D323" s="88"/>
      <c r="E323" s="88"/>
      <c r="F323" s="88"/>
      <c r="G323" s="89"/>
      <c r="H323" s="21" t="s">
        <v>509</v>
      </c>
      <c r="I323" s="58"/>
      <c r="J323" s="12"/>
      <c r="K323" s="12"/>
      <c r="L323" s="12"/>
      <c r="M323" s="12"/>
      <c r="N323" s="12"/>
      <c r="O323" s="12"/>
      <c r="P323" s="12"/>
      <c r="Q323" s="12"/>
      <c r="R323" s="12">
        <f t="shared" ref="R323:R324" si="107">I323+J323+K323+L323+N323+P323</f>
        <v>0</v>
      </c>
      <c r="S323" s="21">
        <f t="shared" ref="S323:S324" si="108">M323+O323+Q323</f>
        <v>0</v>
      </c>
    </row>
    <row r="324" spans="1:19" s="24" customFormat="1" ht="8.1" customHeight="1">
      <c r="A324" s="74" t="s">
        <v>514</v>
      </c>
      <c r="B324" s="75"/>
      <c r="C324" s="87" t="s">
        <v>515</v>
      </c>
      <c r="D324" s="88"/>
      <c r="E324" s="88"/>
      <c r="F324" s="88"/>
      <c r="G324" s="89"/>
      <c r="H324" s="21" t="s">
        <v>516</v>
      </c>
      <c r="I324" s="58"/>
      <c r="J324" s="12"/>
      <c r="K324" s="12"/>
      <c r="L324" s="12"/>
      <c r="M324" s="12"/>
      <c r="N324" s="12"/>
      <c r="O324" s="12"/>
      <c r="P324" s="12"/>
      <c r="Q324" s="12"/>
      <c r="R324" s="12">
        <f t="shared" si="107"/>
        <v>0</v>
      </c>
      <c r="S324" s="21">
        <f t="shared" si="108"/>
        <v>0</v>
      </c>
    </row>
    <row r="325" spans="1:19" s="24" customFormat="1" ht="8.25" customHeight="1">
      <c r="A325" s="74" t="s">
        <v>517</v>
      </c>
      <c r="B325" s="75"/>
      <c r="C325" s="90" t="s">
        <v>518</v>
      </c>
      <c r="D325" s="91"/>
      <c r="E325" s="91"/>
      <c r="F325" s="91"/>
      <c r="G325" s="92"/>
      <c r="H325" s="21" t="s">
        <v>228</v>
      </c>
      <c r="I325" s="58" t="s">
        <v>496</v>
      </c>
      <c r="J325" s="12" t="s">
        <v>496</v>
      </c>
      <c r="K325" s="12" t="s">
        <v>496</v>
      </c>
      <c r="L325" s="12" t="s">
        <v>496</v>
      </c>
      <c r="M325" s="12" t="s">
        <v>496</v>
      </c>
      <c r="N325" s="12" t="s">
        <v>496</v>
      </c>
      <c r="O325" s="12" t="s">
        <v>496</v>
      </c>
      <c r="P325" s="12" t="s">
        <v>496</v>
      </c>
      <c r="Q325" s="12" t="s">
        <v>496</v>
      </c>
      <c r="R325" s="12" t="s">
        <v>496</v>
      </c>
      <c r="S325" s="21" t="s">
        <v>496</v>
      </c>
    </row>
    <row r="326" spans="1:19" s="24" customFormat="1" ht="8.1" customHeight="1">
      <c r="A326" s="74" t="s">
        <v>519</v>
      </c>
      <c r="B326" s="75"/>
      <c r="C326" s="87" t="s">
        <v>513</v>
      </c>
      <c r="D326" s="88"/>
      <c r="E326" s="88"/>
      <c r="F326" s="88"/>
      <c r="G326" s="89"/>
      <c r="H326" s="21" t="s">
        <v>509</v>
      </c>
      <c r="I326" s="58"/>
      <c r="J326" s="12"/>
      <c r="K326" s="12"/>
      <c r="L326" s="12"/>
      <c r="M326" s="12"/>
      <c r="N326" s="12"/>
      <c r="O326" s="12"/>
      <c r="P326" s="12"/>
      <c r="Q326" s="12"/>
      <c r="R326" s="12">
        <f t="shared" ref="R326:R328" si="109">I326+J326+K326+L326+N326+P326</f>
        <v>0</v>
      </c>
      <c r="S326" s="21">
        <f t="shared" ref="S326:S328" si="110">M326+O326+Q326</f>
        <v>0</v>
      </c>
    </row>
    <row r="327" spans="1:19" s="24" customFormat="1" ht="8.1" customHeight="1">
      <c r="A327" s="74" t="s">
        <v>520</v>
      </c>
      <c r="B327" s="75"/>
      <c r="C327" s="87" t="s">
        <v>521</v>
      </c>
      <c r="D327" s="88"/>
      <c r="E327" s="88"/>
      <c r="F327" s="88"/>
      <c r="G327" s="89"/>
      <c r="H327" s="21" t="s">
        <v>499</v>
      </c>
      <c r="I327" s="58"/>
      <c r="J327" s="12"/>
      <c r="K327" s="12"/>
      <c r="L327" s="12"/>
      <c r="M327" s="12"/>
      <c r="N327" s="12"/>
      <c r="O327" s="12"/>
      <c r="P327" s="12"/>
      <c r="Q327" s="12"/>
      <c r="R327" s="12">
        <f t="shared" si="109"/>
        <v>0</v>
      </c>
      <c r="S327" s="21">
        <f t="shared" si="110"/>
        <v>0</v>
      </c>
    </row>
    <row r="328" spans="1:19" s="24" customFormat="1" ht="8.1" customHeight="1">
      <c r="A328" s="74" t="s">
        <v>522</v>
      </c>
      <c r="B328" s="75"/>
      <c r="C328" s="87" t="s">
        <v>515</v>
      </c>
      <c r="D328" s="88"/>
      <c r="E328" s="88"/>
      <c r="F328" s="88"/>
      <c r="G328" s="89"/>
      <c r="H328" s="21" t="s">
        <v>516</v>
      </c>
      <c r="I328" s="58"/>
      <c r="J328" s="12"/>
      <c r="K328" s="12"/>
      <c r="L328" s="12"/>
      <c r="M328" s="12"/>
      <c r="N328" s="12"/>
      <c r="O328" s="12"/>
      <c r="P328" s="12"/>
      <c r="Q328" s="12"/>
      <c r="R328" s="12">
        <f t="shared" si="109"/>
        <v>0</v>
      </c>
      <c r="S328" s="21">
        <f t="shared" si="110"/>
        <v>0</v>
      </c>
    </row>
    <row r="329" spans="1:19" s="24" customFormat="1" ht="8.25" customHeight="1">
      <c r="A329" s="74" t="s">
        <v>523</v>
      </c>
      <c r="B329" s="75"/>
      <c r="C329" s="90" t="s">
        <v>524</v>
      </c>
      <c r="D329" s="91"/>
      <c r="E329" s="91"/>
      <c r="F329" s="91"/>
      <c r="G329" s="92"/>
      <c r="H329" s="21" t="s">
        <v>228</v>
      </c>
      <c r="I329" s="58" t="s">
        <v>496</v>
      </c>
      <c r="J329" s="12" t="s">
        <v>496</v>
      </c>
      <c r="K329" s="12" t="s">
        <v>496</v>
      </c>
      <c r="L329" s="12" t="s">
        <v>496</v>
      </c>
      <c r="M329" s="12" t="s">
        <v>496</v>
      </c>
      <c r="N329" s="12" t="s">
        <v>496</v>
      </c>
      <c r="O329" s="12" t="s">
        <v>496</v>
      </c>
      <c r="P329" s="12" t="s">
        <v>496</v>
      </c>
      <c r="Q329" s="12" t="s">
        <v>496</v>
      </c>
      <c r="R329" s="12" t="s">
        <v>496</v>
      </c>
      <c r="S329" s="21" t="s">
        <v>496</v>
      </c>
    </row>
    <row r="330" spans="1:19" s="24" customFormat="1" ht="8.1" customHeight="1">
      <c r="A330" s="74" t="s">
        <v>525</v>
      </c>
      <c r="B330" s="75"/>
      <c r="C330" s="87" t="s">
        <v>513</v>
      </c>
      <c r="D330" s="88"/>
      <c r="E330" s="88"/>
      <c r="F330" s="88"/>
      <c r="G330" s="89"/>
      <c r="H330" s="21" t="s">
        <v>509</v>
      </c>
      <c r="I330" s="58"/>
      <c r="J330" s="12"/>
      <c r="K330" s="12"/>
      <c r="L330" s="12"/>
      <c r="M330" s="12"/>
      <c r="N330" s="12"/>
      <c r="O330" s="12"/>
      <c r="P330" s="12"/>
      <c r="Q330" s="12"/>
      <c r="R330" s="12">
        <f t="shared" ref="R330:R331" si="111">I330+J330+K330+L330+N330+P330</f>
        <v>0</v>
      </c>
      <c r="S330" s="21">
        <f t="shared" ref="S330:S331" si="112">M330+O330+Q330</f>
        <v>0</v>
      </c>
    </row>
    <row r="331" spans="1:19" s="24" customFormat="1" ht="8.1" customHeight="1">
      <c r="A331" s="74" t="s">
        <v>526</v>
      </c>
      <c r="B331" s="75"/>
      <c r="C331" s="87" t="s">
        <v>515</v>
      </c>
      <c r="D331" s="88"/>
      <c r="E331" s="88"/>
      <c r="F331" s="88"/>
      <c r="G331" s="89"/>
      <c r="H331" s="21" t="s">
        <v>516</v>
      </c>
      <c r="I331" s="58"/>
      <c r="J331" s="12"/>
      <c r="K331" s="12"/>
      <c r="L331" s="12"/>
      <c r="M331" s="12"/>
      <c r="N331" s="12"/>
      <c r="O331" s="12"/>
      <c r="P331" s="12"/>
      <c r="Q331" s="12"/>
      <c r="R331" s="12">
        <f t="shared" si="111"/>
        <v>0</v>
      </c>
      <c r="S331" s="21">
        <f t="shared" si="112"/>
        <v>0</v>
      </c>
    </row>
    <row r="332" spans="1:19" s="24" customFormat="1" ht="8.25" customHeight="1">
      <c r="A332" s="74" t="s">
        <v>527</v>
      </c>
      <c r="B332" s="75"/>
      <c r="C332" s="90" t="s">
        <v>528</v>
      </c>
      <c r="D332" s="91"/>
      <c r="E332" s="91"/>
      <c r="F332" s="91"/>
      <c r="G332" s="92"/>
      <c r="H332" s="21" t="s">
        <v>228</v>
      </c>
      <c r="I332" s="58" t="s">
        <v>496</v>
      </c>
      <c r="J332" s="12" t="s">
        <v>496</v>
      </c>
      <c r="K332" s="12" t="s">
        <v>496</v>
      </c>
      <c r="L332" s="12" t="s">
        <v>496</v>
      </c>
      <c r="M332" s="12" t="s">
        <v>496</v>
      </c>
      <c r="N332" s="12" t="s">
        <v>496</v>
      </c>
      <c r="O332" s="12" t="s">
        <v>496</v>
      </c>
      <c r="P332" s="12" t="s">
        <v>496</v>
      </c>
      <c r="Q332" s="12" t="s">
        <v>496</v>
      </c>
      <c r="R332" s="12" t="s">
        <v>496</v>
      </c>
      <c r="S332" s="21" t="s">
        <v>496</v>
      </c>
    </row>
    <row r="333" spans="1:19" s="24" customFormat="1" ht="8.1" customHeight="1">
      <c r="A333" s="74" t="s">
        <v>529</v>
      </c>
      <c r="B333" s="75"/>
      <c r="C333" s="87" t="s">
        <v>513</v>
      </c>
      <c r="D333" s="88"/>
      <c r="E333" s="88"/>
      <c r="F333" s="88"/>
      <c r="G333" s="89"/>
      <c r="H333" s="21" t="s">
        <v>509</v>
      </c>
      <c r="I333" s="58"/>
      <c r="J333" s="12"/>
      <c r="K333" s="12"/>
      <c r="L333" s="12"/>
      <c r="M333" s="12"/>
      <c r="N333" s="12"/>
      <c r="O333" s="12"/>
      <c r="P333" s="12"/>
      <c r="Q333" s="12"/>
      <c r="R333" s="12">
        <f t="shared" ref="R333:R335" si="113">I333+J333+K333+L333+N333+P333</f>
        <v>0</v>
      </c>
      <c r="S333" s="21">
        <f t="shared" ref="S333:S335" si="114">M333+O333+Q333</f>
        <v>0</v>
      </c>
    </row>
    <row r="334" spans="1:19" s="24" customFormat="1" ht="8.1" customHeight="1">
      <c r="A334" s="74" t="s">
        <v>530</v>
      </c>
      <c r="B334" s="75"/>
      <c r="C334" s="87" t="s">
        <v>521</v>
      </c>
      <c r="D334" s="88"/>
      <c r="E334" s="88"/>
      <c r="F334" s="88"/>
      <c r="G334" s="89"/>
      <c r="H334" s="21" t="s">
        <v>499</v>
      </c>
      <c r="I334" s="58"/>
      <c r="J334" s="12"/>
      <c r="K334" s="12"/>
      <c r="L334" s="12"/>
      <c r="M334" s="12"/>
      <c r="N334" s="12"/>
      <c r="O334" s="12"/>
      <c r="P334" s="12"/>
      <c r="Q334" s="12"/>
      <c r="R334" s="12">
        <f t="shared" si="113"/>
        <v>0</v>
      </c>
      <c r="S334" s="21">
        <f t="shared" si="114"/>
        <v>0</v>
      </c>
    </row>
    <row r="335" spans="1:19" s="24" customFormat="1" ht="8.1" customHeight="1">
      <c r="A335" s="74" t="s">
        <v>531</v>
      </c>
      <c r="B335" s="75"/>
      <c r="C335" s="87" t="s">
        <v>515</v>
      </c>
      <c r="D335" s="88"/>
      <c r="E335" s="88"/>
      <c r="F335" s="88"/>
      <c r="G335" s="89"/>
      <c r="H335" s="21" t="s">
        <v>516</v>
      </c>
      <c r="I335" s="58"/>
      <c r="J335" s="12"/>
      <c r="K335" s="12"/>
      <c r="L335" s="12"/>
      <c r="M335" s="12"/>
      <c r="N335" s="12"/>
      <c r="O335" s="12"/>
      <c r="P335" s="12"/>
      <c r="Q335" s="12"/>
      <c r="R335" s="12">
        <f t="shared" si="113"/>
        <v>0</v>
      </c>
      <c r="S335" s="21">
        <f t="shared" si="114"/>
        <v>0</v>
      </c>
    </row>
    <row r="336" spans="1:19" s="24" customFormat="1" ht="9" customHeight="1">
      <c r="A336" s="74" t="s">
        <v>532</v>
      </c>
      <c r="B336" s="75"/>
      <c r="C336" s="93" t="s">
        <v>533</v>
      </c>
      <c r="D336" s="94"/>
      <c r="E336" s="94"/>
      <c r="F336" s="94"/>
      <c r="G336" s="95"/>
      <c r="H336" s="21" t="s">
        <v>228</v>
      </c>
      <c r="I336" s="58" t="s">
        <v>496</v>
      </c>
      <c r="J336" s="12" t="s">
        <v>496</v>
      </c>
      <c r="K336" s="12" t="s">
        <v>496</v>
      </c>
      <c r="L336" s="12" t="s">
        <v>496</v>
      </c>
      <c r="M336" s="12" t="s">
        <v>496</v>
      </c>
      <c r="N336" s="12" t="s">
        <v>496</v>
      </c>
      <c r="O336" s="12" t="s">
        <v>496</v>
      </c>
      <c r="P336" s="12" t="s">
        <v>496</v>
      </c>
      <c r="Q336" s="12" t="s">
        <v>496</v>
      </c>
      <c r="R336" s="12" t="s">
        <v>496</v>
      </c>
      <c r="S336" s="21" t="s">
        <v>496</v>
      </c>
    </row>
    <row r="337" spans="1:19" s="24" customFormat="1" ht="8.25" customHeight="1">
      <c r="A337" s="74" t="s">
        <v>534</v>
      </c>
      <c r="B337" s="75"/>
      <c r="C337" s="90" t="s">
        <v>535</v>
      </c>
      <c r="D337" s="91"/>
      <c r="E337" s="91"/>
      <c r="F337" s="91"/>
      <c r="G337" s="92"/>
      <c r="H337" s="21" t="s">
        <v>509</v>
      </c>
      <c r="I337" s="58"/>
      <c r="J337" s="12"/>
      <c r="K337" s="12"/>
      <c r="L337" s="12"/>
      <c r="M337" s="12"/>
      <c r="N337" s="12"/>
      <c r="O337" s="12"/>
      <c r="P337" s="12"/>
      <c r="Q337" s="12"/>
      <c r="R337" s="12">
        <f t="shared" ref="R337:R347" si="115">I337+J337+K337+L337+N337+P337</f>
        <v>0</v>
      </c>
      <c r="S337" s="21">
        <f t="shared" ref="S337:S347" si="116">M337+O337+Q337</f>
        <v>0</v>
      </c>
    </row>
    <row r="338" spans="1:19" s="24" customFormat="1" ht="16.5" customHeight="1">
      <c r="A338" s="74" t="s">
        <v>536</v>
      </c>
      <c r="B338" s="75"/>
      <c r="C338" s="87" t="s">
        <v>537</v>
      </c>
      <c r="D338" s="88"/>
      <c r="E338" s="88"/>
      <c r="F338" s="88"/>
      <c r="G338" s="89"/>
      <c r="H338" s="21" t="s">
        <v>509</v>
      </c>
      <c r="I338" s="58"/>
      <c r="J338" s="12"/>
      <c r="K338" s="12"/>
      <c r="L338" s="12"/>
      <c r="M338" s="12"/>
      <c r="N338" s="12"/>
      <c r="O338" s="12"/>
      <c r="P338" s="12"/>
      <c r="Q338" s="12"/>
      <c r="R338" s="12">
        <f t="shared" si="115"/>
        <v>0</v>
      </c>
      <c r="S338" s="21">
        <f t="shared" si="116"/>
        <v>0</v>
      </c>
    </row>
    <row r="339" spans="1:19" s="24" customFormat="1" ht="8.1" customHeight="1">
      <c r="A339" s="74" t="s">
        <v>538</v>
      </c>
      <c r="B339" s="75"/>
      <c r="C339" s="78" t="s">
        <v>539</v>
      </c>
      <c r="D339" s="79"/>
      <c r="E339" s="79"/>
      <c r="F339" s="79"/>
      <c r="G339" s="80"/>
      <c r="H339" s="21" t="s">
        <v>509</v>
      </c>
      <c r="I339" s="58"/>
      <c r="J339" s="12"/>
      <c r="K339" s="12"/>
      <c r="L339" s="12"/>
      <c r="M339" s="12"/>
      <c r="N339" s="12"/>
      <c r="O339" s="12"/>
      <c r="P339" s="12"/>
      <c r="Q339" s="12"/>
      <c r="R339" s="12">
        <f t="shared" si="115"/>
        <v>0</v>
      </c>
      <c r="S339" s="21">
        <f t="shared" si="116"/>
        <v>0</v>
      </c>
    </row>
    <row r="340" spans="1:19" s="24" customFormat="1" ht="8.1" customHeight="1">
      <c r="A340" s="74" t="s">
        <v>540</v>
      </c>
      <c r="B340" s="75"/>
      <c r="C340" s="78" t="s">
        <v>541</v>
      </c>
      <c r="D340" s="79"/>
      <c r="E340" s="79"/>
      <c r="F340" s="79"/>
      <c r="G340" s="80"/>
      <c r="H340" s="21" t="s">
        <v>509</v>
      </c>
      <c r="I340" s="58"/>
      <c r="J340" s="12"/>
      <c r="K340" s="12"/>
      <c r="L340" s="12"/>
      <c r="M340" s="12"/>
      <c r="N340" s="12"/>
      <c r="O340" s="12"/>
      <c r="P340" s="12"/>
      <c r="Q340" s="12"/>
      <c r="R340" s="12">
        <f t="shared" si="115"/>
        <v>0</v>
      </c>
      <c r="S340" s="21">
        <f t="shared" si="116"/>
        <v>0</v>
      </c>
    </row>
    <row r="341" spans="1:19" s="24" customFormat="1" ht="8.25" customHeight="1">
      <c r="A341" s="74" t="s">
        <v>542</v>
      </c>
      <c r="B341" s="75"/>
      <c r="C341" s="90" t="s">
        <v>543</v>
      </c>
      <c r="D341" s="91"/>
      <c r="E341" s="91"/>
      <c r="F341" s="91"/>
      <c r="G341" s="92"/>
      <c r="H341" s="21" t="s">
        <v>509</v>
      </c>
      <c r="I341" s="58"/>
      <c r="J341" s="12"/>
      <c r="K341" s="12"/>
      <c r="L341" s="12"/>
      <c r="M341" s="12"/>
      <c r="N341" s="12"/>
      <c r="O341" s="12"/>
      <c r="P341" s="12"/>
      <c r="Q341" s="12"/>
      <c r="R341" s="12">
        <f t="shared" si="115"/>
        <v>0</v>
      </c>
      <c r="S341" s="21">
        <f t="shared" si="116"/>
        <v>0</v>
      </c>
    </row>
    <row r="342" spans="1:19" s="24" customFormat="1" ht="8.25" customHeight="1">
      <c r="A342" s="74" t="s">
        <v>544</v>
      </c>
      <c r="B342" s="75"/>
      <c r="C342" s="90" t="s">
        <v>545</v>
      </c>
      <c r="D342" s="91"/>
      <c r="E342" s="91"/>
      <c r="F342" s="91"/>
      <c r="G342" s="92"/>
      <c r="H342" s="21" t="s">
        <v>499</v>
      </c>
      <c r="I342" s="58"/>
      <c r="J342" s="12"/>
      <c r="K342" s="12"/>
      <c r="L342" s="12"/>
      <c r="M342" s="12"/>
      <c r="N342" s="12"/>
      <c r="O342" s="12"/>
      <c r="P342" s="12"/>
      <c r="Q342" s="12"/>
      <c r="R342" s="12">
        <f t="shared" si="115"/>
        <v>0</v>
      </c>
      <c r="S342" s="21">
        <f t="shared" si="116"/>
        <v>0</v>
      </c>
    </row>
    <row r="343" spans="1:19" s="24" customFormat="1" ht="16.5" customHeight="1">
      <c r="A343" s="74" t="s">
        <v>546</v>
      </c>
      <c r="B343" s="75"/>
      <c r="C343" s="87" t="s">
        <v>547</v>
      </c>
      <c r="D343" s="88"/>
      <c r="E343" s="88"/>
      <c r="F343" s="88"/>
      <c r="G343" s="89"/>
      <c r="H343" s="21" t="s">
        <v>499</v>
      </c>
      <c r="I343" s="58"/>
      <c r="J343" s="12"/>
      <c r="K343" s="12"/>
      <c r="L343" s="12"/>
      <c r="M343" s="12"/>
      <c r="N343" s="12"/>
      <c r="O343" s="12"/>
      <c r="P343" s="12"/>
      <c r="Q343" s="12"/>
      <c r="R343" s="12">
        <f t="shared" si="115"/>
        <v>0</v>
      </c>
      <c r="S343" s="21">
        <f t="shared" si="116"/>
        <v>0</v>
      </c>
    </row>
    <row r="344" spans="1:19" s="24" customFormat="1" ht="8.1" customHeight="1">
      <c r="A344" s="74" t="s">
        <v>548</v>
      </c>
      <c r="B344" s="75"/>
      <c r="C344" s="78" t="s">
        <v>539</v>
      </c>
      <c r="D344" s="79"/>
      <c r="E344" s="79"/>
      <c r="F344" s="79"/>
      <c r="G344" s="80"/>
      <c r="H344" s="21" t="s">
        <v>499</v>
      </c>
      <c r="I344" s="58"/>
      <c r="J344" s="12"/>
      <c r="K344" s="12"/>
      <c r="L344" s="12"/>
      <c r="M344" s="12"/>
      <c r="N344" s="12"/>
      <c r="O344" s="12"/>
      <c r="P344" s="12"/>
      <c r="Q344" s="12"/>
      <c r="R344" s="12">
        <f t="shared" si="115"/>
        <v>0</v>
      </c>
      <c r="S344" s="21">
        <f t="shared" si="116"/>
        <v>0</v>
      </c>
    </row>
    <row r="345" spans="1:19" s="24" customFormat="1" ht="8.1" customHeight="1">
      <c r="A345" s="74" t="s">
        <v>549</v>
      </c>
      <c r="B345" s="75"/>
      <c r="C345" s="78" t="s">
        <v>541</v>
      </c>
      <c r="D345" s="79"/>
      <c r="E345" s="79"/>
      <c r="F345" s="79"/>
      <c r="G345" s="80"/>
      <c r="H345" s="21" t="s">
        <v>499</v>
      </c>
      <c r="I345" s="58"/>
      <c r="J345" s="12"/>
      <c r="K345" s="12"/>
      <c r="L345" s="12"/>
      <c r="M345" s="12"/>
      <c r="N345" s="12"/>
      <c r="O345" s="12"/>
      <c r="P345" s="12"/>
      <c r="Q345" s="12"/>
      <c r="R345" s="12">
        <f t="shared" si="115"/>
        <v>0</v>
      </c>
      <c r="S345" s="21">
        <f t="shared" si="116"/>
        <v>0</v>
      </c>
    </row>
    <row r="346" spans="1:19" s="24" customFormat="1" ht="8.25" customHeight="1">
      <c r="A346" s="74" t="s">
        <v>550</v>
      </c>
      <c r="B346" s="75"/>
      <c r="C346" s="90" t="s">
        <v>551</v>
      </c>
      <c r="D346" s="91"/>
      <c r="E346" s="91"/>
      <c r="F346" s="91"/>
      <c r="G346" s="92"/>
      <c r="H346" s="21" t="s">
        <v>552</v>
      </c>
      <c r="I346" s="58"/>
      <c r="J346" s="12"/>
      <c r="K346" s="12"/>
      <c r="L346" s="12"/>
      <c r="M346" s="12"/>
      <c r="N346" s="12"/>
      <c r="O346" s="12"/>
      <c r="P346" s="12"/>
      <c r="Q346" s="12"/>
      <c r="R346" s="12">
        <f t="shared" si="115"/>
        <v>0</v>
      </c>
      <c r="S346" s="21">
        <f t="shared" si="116"/>
        <v>0</v>
      </c>
    </row>
    <row r="347" spans="1:19" s="24" customFormat="1" ht="16.5" customHeight="1">
      <c r="A347" s="74" t="s">
        <v>553</v>
      </c>
      <c r="B347" s="75"/>
      <c r="C347" s="90" t="s">
        <v>554</v>
      </c>
      <c r="D347" s="91"/>
      <c r="E347" s="91"/>
      <c r="F347" s="91"/>
      <c r="G347" s="92"/>
      <c r="H347" s="21" t="s">
        <v>23</v>
      </c>
      <c r="I347" s="58"/>
      <c r="J347" s="12"/>
      <c r="K347" s="12"/>
      <c r="L347" s="12"/>
      <c r="M347" s="12"/>
      <c r="N347" s="12"/>
      <c r="O347" s="12"/>
      <c r="P347" s="12"/>
      <c r="Q347" s="12"/>
      <c r="R347" s="12">
        <f t="shared" si="115"/>
        <v>0</v>
      </c>
      <c r="S347" s="21">
        <f t="shared" si="116"/>
        <v>0</v>
      </c>
    </row>
    <row r="348" spans="1:19" s="24" customFormat="1" ht="9" customHeight="1">
      <c r="A348" s="74" t="s">
        <v>555</v>
      </c>
      <c r="B348" s="75"/>
      <c r="C348" s="93" t="s">
        <v>556</v>
      </c>
      <c r="D348" s="94"/>
      <c r="E348" s="94"/>
      <c r="F348" s="94"/>
      <c r="G348" s="95"/>
      <c r="H348" s="21" t="s">
        <v>228</v>
      </c>
      <c r="I348" s="58" t="s">
        <v>496</v>
      </c>
      <c r="J348" s="12" t="s">
        <v>496</v>
      </c>
      <c r="K348" s="12" t="s">
        <v>496</v>
      </c>
      <c r="L348" s="12" t="s">
        <v>496</v>
      </c>
      <c r="M348" s="12" t="s">
        <v>496</v>
      </c>
      <c r="N348" s="12" t="s">
        <v>496</v>
      </c>
      <c r="O348" s="12" t="s">
        <v>496</v>
      </c>
      <c r="P348" s="12" t="s">
        <v>496</v>
      </c>
      <c r="Q348" s="12" t="s">
        <v>496</v>
      </c>
      <c r="R348" s="12" t="s">
        <v>496</v>
      </c>
      <c r="S348" s="21" t="s">
        <v>496</v>
      </c>
    </row>
    <row r="349" spans="1:19" s="24" customFormat="1" ht="9" customHeight="1">
      <c r="A349" s="74" t="s">
        <v>557</v>
      </c>
      <c r="B349" s="75"/>
      <c r="C349" s="90" t="s">
        <v>558</v>
      </c>
      <c r="D349" s="91"/>
      <c r="E349" s="91"/>
      <c r="F349" s="91"/>
      <c r="G349" s="92"/>
      <c r="H349" s="21" t="s">
        <v>509</v>
      </c>
      <c r="I349" s="12">
        <v>3029.03</v>
      </c>
      <c r="J349" s="12">
        <v>3043.96</v>
      </c>
      <c r="K349" s="12">
        <v>3156.88</v>
      </c>
      <c r="L349" s="12">
        <v>3098.0189999999998</v>
      </c>
      <c r="M349" s="173">
        <v>947.42100000000005</v>
      </c>
      <c r="N349" s="12">
        <v>3098.0189999999998</v>
      </c>
      <c r="O349" s="8"/>
      <c r="P349" s="12">
        <v>3098.0189999999998</v>
      </c>
      <c r="Q349" s="12"/>
      <c r="R349" s="8">
        <f t="shared" ref="R349:R352" si="117">I349+J349+K349+L349+N349+P349</f>
        <v>18523.927</v>
      </c>
      <c r="S349" s="23">
        <f t="shared" ref="S349" si="118">M349+O349+Q349</f>
        <v>947.42100000000005</v>
      </c>
    </row>
    <row r="350" spans="1:19" s="24" customFormat="1" ht="8.25">
      <c r="A350" s="74" t="s">
        <v>559</v>
      </c>
      <c r="B350" s="75"/>
      <c r="C350" s="90" t="s">
        <v>560</v>
      </c>
      <c r="D350" s="91"/>
      <c r="E350" s="91"/>
      <c r="F350" s="91"/>
      <c r="G350" s="92"/>
      <c r="H350" s="21" t="s">
        <v>502</v>
      </c>
      <c r="I350" s="58"/>
      <c r="J350" s="12"/>
      <c r="K350" s="12"/>
      <c r="L350" s="12"/>
      <c r="M350" s="12"/>
      <c r="N350" s="12"/>
      <c r="O350" s="12"/>
      <c r="P350" s="12"/>
      <c r="Q350" s="12"/>
      <c r="R350" s="12">
        <f t="shared" si="117"/>
        <v>0</v>
      </c>
      <c r="S350" s="21">
        <f t="shared" ref="S350:S352" si="119">M350+O350+Q350</f>
        <v>0</v>
      </c>
    </row>
    <row r="351" spans="1:19" s="24" customFormat="1" ht="24.75" customHeight="1">
      <c r="A351" s="74" t="s">
        <v>561</v>
      </c>
      <c r="B351" s="75"/>
      <c r="C351" s="90" t="s">
        <v>562</v>
      </c>
      <c r="D351" s="91"/>
      <c r="E351" s="91"/>
      <c r="F351" s="91"/>
      <c r="G351" s="92"/>
      <c r="H351" s="21" t="s">
        <v>23</v>
      </c>
      <c r="I351" s="58"/>
      <c r="J351" s="12"/>
      <c r="K351" s="12"/>
      <c r="L351" s="12"/>
      <c r="M351" s="12"/>
      <c r="N351" s="12"/>
      <c r="O351" s="12"/>
      <c r="P351" s="12"/>
      <c r="Q351" s="12"/>
      <c r="R351" s="12">
        <f t="shared" si="117"/>
        <v>0</v>
      </c>
      <c r="S351" s="21">
        <f t="shared" si="119"/>
        <v>0</v>
      </c>
    </row>
    <row r="352" spans="1:19" s="24" customFormat="1" ht="16.5" customHeight="1">
      <c r="A352" s="74" t="s">
        <v>563</v>
      </c>
      <c r="B352" s="75"/>
      <c r="C352" s="90" t="s">
        <v>564</v>
      </c>
      <c r="D352" s="91"/>
      <c r="E352" s="91"/>
      <c r="F352" s="91"/>
      <c r="G352" s="92"/>
      <c r="H352" s="21" t="s">
        <v>23</v>
      </c>
      <c r="I352" s="22">
        <v>467.12900000000002</v>
      </c>
      <c r="J352" s="8">
        <v>479.01889</v>
      </c>
      <c r="K352" s="12">
        <v>680.18039999999996</v>
      </c>
      <c r="L352" s="12">
        <v>888.5</v>
      </c>
      <c r="M352" s="173">
        <v>257.57100000000003</v>
      </c>
      <c r="N352" s="12">
        <v>994</v>
      </c>
      <c r="O352" s="12"/>
      <c r="P352" s="12">
        <v>994</v>
      </c>
      <c r="Q352" s="12"/>
      <c r="R352" s="8">
        <f t="shared" si="117"/>
        <v>4502.8282899999995</v>
      </c>
      <c r="S352" s="23">
        <f t="shared" si="119"/>
        <v>257.57100000000003</v>
      </c>
    </row>
    <row r="353" spans="1:19" s="24" customFormat="1" ht="9" customHeight="1">
      <c r="A353" s="74" t="s">
        <v>565</v>
      </c>
      <c r="B353" s="75"/>
      <c r="C353" s="93" t="s">
        <v>566</v>
      </c>
      <c r="D353" s="94"/>
      <c r="E353" s="94"/>
      <c r="F353" s="94"/>
      <c r="G353" s="95"/>
      <c r="H353" s="21" t="s">
        <v>228</v>
      </c>
      <c r="I353" s="58" t="s">
        <v>496</v>
      </c>
      <c r="J353" s="12" t="s">
        <v>496</v>
      </c>
      <c r="K353" s="12" t="s">
        <v>496</v>
      </c>
      <c r="L353" s="12" t="s">
        <v>496</v>
      </c>
      <c r="M353" s="12" t="s">
        <v>496</v>
      </c>
      <c r="N353" s="12" t="s">
        <v>496</v>
      </c>
      <c r="O353" s="12" t="s">
        <v>496</v>
      </c>
      <c r="P353" s="12" t="s">
        <v>496</v>
      </c>
      <c r="Q353" s="12" t="s">
        <v>496</v>
      </c>
      <c r="R353" s="12" t="s">
        <v>496</v>
      </c>
      <c r="S353" s="21" t="s">
        <v>496</v>
      </c>
    </row>
    <row r="354" spans="1:19" s="24" customFormat="1" ht="8.25" customHeight="1">
      <c r="A354" s="74" t="s">
        <v>567</v>
      </c>
      <c r="B354" s="75"/>
      <c r="C354" s="90" t="s">
        <v>568</v>
      </c>
      <c r="D354" s="91"/>
      <c r="E354" s="91"/>
      <c r="F354" s="91"/>
      <c r="G354" s="92"/>
      <c r="H354" s="21" t="s">
        <v>499</v>
      </c>
      <c r="I354" s="58"/>
      <c r="J354" s="12"/>
      <c r="K354" s="12"/>
      <c r="L354" s="12"/>
      <c r="M354" s="12"/>
      <c r="N354" s="12"/>
      <c r="O354" s="12"/>
      <c r="P354" s="12"/>
      <c r="Q354" s="12"/>
      <c r="R354" s="12">
        <f t="shared" ref="R354:R363" si="120">I354+J354+K354+L354+N354+P354</f>
        <v>0</v>
      </c>
      <c r="S354" s="21">
        <f t="shared" ref="S354:S364" si="121">M354+O354+Q354</f>
        <v>0</v>
      </c>
    </row>
    <row r="355" spans="1:19" s="24" customFormat="1" ht="24.75" customHeight="1">
      <c r="A355" s="74" t="s">
        <v>569</v>
      </c>
      <c r="B355" s="75"/>
      <c r="C355" s="87" t="s">
        <v>570</v>
      </c>
      <c r="D355" s="88"/>
      <c r="E355" s="88"/>
      <c r="F355" s="88"/>
      <c r="G355" s="89"/>
      <c r="H355" s="21" t="s">
        <v>499</v>
      </c>
      <c r="I355" s="58"/>
      <c r="J355" s="12"/>
      <c r="K355" s="12"/>
      <c r="L355" s="12"/>
      <c r="M355" s="12"/>
      <c r="N355" s="12"/>
      <c r="O355" s="12"/>
      <c r="P355" s="12"/>
      <c r="Q355" s="12"/>
      <c r="R355" s="12">
        <f t="shared" si="120"/>
        <v>0</v>
      </c>
      <c r="S355" s="21">
        <f t="shared" si="121"/>
        <v>0</v>
      </c>
    </row>
    <row r="356" spans="1:19" s="24" customFormat="1" ht="24.75" customHeight="1">
      <c r="A356" s="74" t="s">
        <v>571</v>
      </c>
      <c r="B356" s="75"/>
      <c r="C356" s="87" t="s">
        <v>572</v>
      </c>
      <c r="D356" s="88"/>
      <c r="E356" s="88"/>
      <c r="F356" s="88"/>
      <c r="G356" s="89"/>
      <c r="H356" s="21" t="s">
        <v>499</v>
      </c>
      <c r="I356" s="58"/>
      <c r="J356" s="12"/>
      <c r="K356" s="12"/>
      <c r="L356" s="12"/>
      <c r="M356" s="12"/>
      <c r="N356" s="12"/>
      <c r="O356" s="12"/>
      <c r="P356" s="12"/>
      <c r="Q356" s="12"/>
      <c r="R356" s="12">
        <f t="shared" si="120"/>
        <v>0</v>
      </c>
      <c r="S356" s="21">
        <f t="shared" si="121"/>
        <v>0</v>
      </c>
    </row>
    <row r="357" spans="1:19" s="24" customFormat="1" ht="16.5" customHeight="1">
      <c r="A357" s="74" t="s">
        <v>573</v>
      </c>
      <c r="B357" s="75"/>
      <c r="C357" s="87" t="s">
        <v>574</v>
      </c>
      <c r="D357" s="88"/>
      <c r="E357" s="88"/>
      <c r="F357" s="88"/>
      <c r="G357" s="89"/>
      <c r="H357" s="21" t="s">
        <v>499</v>
      </c>
      <c r="I357" s="58"/>
      <c r="J357" s="12"/>
      <c r="K357" s="12"/>
      <c r="L357" s="12"/>
      <c r="M357" s="12"/>
      <c r="N357" s="12"/>
      <c r="O357" s="12"/>
      <c r="P357" s="12"/>
      <c r="Q357" s="12"/>
      <c r="R357" s="12">
        <f t="shared" si="120"/>
        <v>0</v>
      </c>
      <c r="S357" s="21">
        <f t="shared" si="121"/>
        <v>0</v>
      </c>
    </row>
    <row r="358" spans="1:19" s="24" customFormat="1" ht="8.25" customHeight="1">
      <c r="A358" s="74" t="s">
        <v>575</v>
      </c>
      <c r="B358" s="75"/>
      <c r="C358" s="90" t="s">
        <v>576</v>
      </c>
      <c r="D358" s="91"/>
      <c r="E358" s="91"/>
      <c r="F358" s="91"/>
      <c r="G358" s="92"/>
      <c r="H358" s="21" t="s">
        <v>509</v>
      </c>
      <c r="I358" s="58"/>
      <c r="J358" s="12"/>
      <c r="K358" s="12"/>
      <c r="L358" s="12"/>
      <c r="M358" s="12"/>
      <c r="N358" s="12"/>
      <c r="O358" s="12"/>
      <c r="P358" s="12"/>
      <c r="Q358" s="12"/>
      <c r="R358" s="12">
        <f t="shared" si="120"/>
        <v>0</v>
      </c>
      <c r="S358" s="21">
        <f t="shared" si="121"/>
        <v>0</v>
      </c>
    </row>
    <row r="359" spans="1:19" s="24" customFormat="1" ht="16.5" customHeight="1">
      <c r="A359" s="74" t="s">
        <v>577</v>
      </c>
      <c r="B359" s="75"/>
      <c r="C359" s="87" t="s">
        <v>578</v>
      </c>
      <c r="D359" s="88"/>
      <c r="E359" s="88"/>
      <c r="F359" s="88"/>
      <c r="G359" s="89"/>
      <c r="H359" s="21" t="s">
        <v>509</v>
      </c>
      <c r="I359" s="58"/>
      <c r="J359" s="12"/>
      <c r="K359" s="12"/>
      <c r="L359" s="12"/>
      <c r="M359" s="12"/>
      <c r="N359" s="12"/>
      <c r="O359" s="12"/>
      <c r="P359" s="12"/>
      <c r="Q359" s="12"/>
      <c r="R359" s="12">
        <f t="shared" si="120"/>
        <v>0</v>
      </c>
      <c r="S359" s="21">
        <f t="shared" si="121"/>
        <v>0</v>
      </c>
    </row>
    <row r="360" spans="1:19" s="24" customFormat="1" ht="8.1" customHeight="1">
      <c r="A360" s="74" t="s">
        <v>579</v>
      </c>
      <c r="B360" s="75"/>
      <c r="C360" s="87" t="s">
        <v>580</v>
      </c>
      <c r="D360" s="88"/>
      <c r="E360" s="88"/>
      <c r="F360" s="88"/>
      <c r="G360" s="89"/>
      <c r="H360" s="21" t="s">
        <v>509</v>
      </c>
      <c r="I360" s="58"/>
      <c r="J360" s="12"/>
      <c r="K360" s="12"/>
      <c r="L360" s="12"/>
      <c r="M360" s="12"/>
      <c r="N360" s="12"/>
      <c r="O360" s="12"/>
      <c r="P360" s="12"/>
      <c r="Q360" s="12"/>
      <c r="R360" s="12">
        <f t="shared" si="120"/>
        <v>0</v>
      </c>
      <c r="S360" s="21">
        <f t="shared" si="121"/>
        <v>0</v>
      </c>
    </row>
    <row r="361" spans="1:19" s="24" customFormat="1" ht="16.5" customHeight="1">
      <c r="A361" s="74" t="s">
        <v>581</v>
      </c>
      <c r="B361" s="75"/>
      <c r="C361" s="90" t="s">
        <v>582</v>
      </c>
      <c r="D361" s="91"/>
      <c r="E361" s="91"/>
      <c r="F361" s="91"/>
      <c r="G361" s="92"/>
      <c r="H361" s="21" t="s">
        <v>23</v>
      </c>
      <c r="I361" s="58"/>
      <c r="J361" s="12"/>
      <c r="K361" s="12"/>
      <c r="L361" s="12"/>
      <c r="M361" s="12"/>
      <c r="N361" s="12"/>
      <c r="O361" s="12"/>
      <c r="P361" s="12"/>
      <c r="Q361" s="12"/>
      <c r="R361" s="12">
        <f t="shared" si="120"/>
        <v>0</v>
      </c>
      <c r="S361" s="21">
        <f t="shared" si="121"/>
        <v>0</v>
      </c>
    </row>
    <row r="362" spans="1:19" s="24" customFormat="1" ht="8.1" customHeight="1">
      <c r="A362" s="74" t="s">
        <v>583</v>
      </c>
      <c r="B362" s="75"/>
      <c r="C362" s="87" t="s">
        <v>47</v>
      </c>
      <c r="D362" s="88"/>
      <c r="E362" s="88"/>
      <c r="F362" s="88"/>
      <c r="G362" s="89"/>
      <c r="H362" s="21" t="s">
        <v>23</v>
      </c>
      <c r="I362" s="58"/>
      <c r="J362" s="12"/>
      <c r="K362" s="12"/>
      <c r="L362" s="12"/>
      <c r="M362" s="12"/>
      <c r="N362" s="12"/>
      <c r="O362" s="12"/>
      <c r="P362" s="12"/>
      <c r="Q362" s="12"/>
      <c r="R362" s="12">
        <f t="shared" si="120"/>
        <v>0</v>
      </c>
      <c r="S362" s="21">
        <f t="shared" si="121"/>
        <v>0</v>
      </c>
    </row>
    <row r="363" spans="1:19" s="24" customFormat="1" ht="8.1" customHeight="1">
      <c r="A363" s="74" t="s">
        <v>584</v>
      </c>
      <c r="B363" s="75"/>
      <c r="C363" s="87" t="s">
        <v>49</v>
      </c>
      <c r="D363" s="88"/>
      <c r="E363" s="88"/>
      <c r="F363" s="88"/>
      <c r="G363" s="89"/>
      <c r="H363" s="21" t="s">
        <v>23</v>
      </c>
      <c r="I363" s="58"/>
      <c r="J363" s="12"/>
      <c r="K363" s="12"/>
      <c r="L363" s="12"/>
      <c r="M363" s="12"/>
      <c r="N363" s="12"/>
      <c r="O363" s="12"/>
      <c r="P363" s="12"/>
      <c r="Q363" s="12"/>
      <c r="R363" s="12">
        <f t="shared" si="120"/>
        <v>0</v>
      </c>
      <c r="S363" s="21">
        <f t="shared" si="121"/>
        <v>0</v>
      </c>
    </row>
    <row r="364" spans="1:19" s="24" customFormat="1" ht="9" customHeight="1" thickBot="1">
      <c r="A364" s="148" t="s">
        <v>585</v>
      </c>
      <c r="B364" s="149"/>
      <c r="C364" s="141" t="s">
        <v>586</v>
      </c>
      <c r="D364" s="142"/>
      <c r="E364" s="142"/>
      <c r="F364" s="142"/>
      <c r="G364" s="143"/>
      <c r="H364" s="48" t="s">
        <v>587</v>
      </c>
      <c r="I364" s="59">
        <v>772</v>
      </c>
      <c r="J364" s="13">
        <v>769</v>
      </c>
      <c r="K364" s="13">
        <v>777</v>
      </c>
      <c r="L364" s="13">
        <v>776</v>
      </c>
      <c r="M364" s="13">
        <v>755</v>
      </c>
      <c r="N364" s="13">
        <v>788</v>
      </c>
      <c r="O364" s="13"/>
      <c r="P364" s="13">
        <v>788</v>
      </c>
      <c r="Q364" s="13"/>
      <c r="R364" s="60">
        <f>(I364+J364+K364+L364+N364+P364)/6</f>
        <v>778.33333333333337</v>
      </c>
      <c r="S364" s="61">
        <f t="shared" si="121"/>
        <v>755</v>
      </c>
    </row>
    <row r="365" spans="1:19" s="24" customFormat="1" ht="13.5" customHeight="1" thickBot="1">
      <c r="A365" s="109" t="s">
        <v>703</v>
      </c>
      <c r="B365" s="110"/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1"/>
    </row>
    <row r="366" spans="1:19" s="62" customFormat="1" ht="18" customHeight="1">
      <c r="A366" s="133" t="s">
        <v>14</v>
      </c>
      <c r="B366" s="134"/>
      <c r="C366" s="137" t="s">
        <v>15</v>
      </c>
      <c r="D366" s="138"/>
      <c r="E366" s="138"/>
      <c r="F366" s="138"/>
      <c r="G366" s="134"/>
      <c r="H366" s="120" t="s">
        <v>16</v>
      </c>
      <c r="I366" s="14" t="str">
        <f>I16</f>
        <v>Год 2016 (N-3)</v>
      </c>
      <c r="J366" s="14" t="str">
        <f t="shared" ref="J366:Q366" si="122">J16</f>
        <v>Год 2017 (N-2)</v>
      </c>
      <c r="K366" s="14" t="str">
        <f t="shared" si="122"/>
        <v>Год 2018 (N-1)</v>
      </c>
      <c r="L366" s="14" t="str">
        <f t="shared" si="122"/>
        <v>Год 2019 (N)</v>
      </c>
      <c r="M366" s="14" t="str">
        <f>L366</f>
        <v>Год 2019 (N)</v>
      </c>
      <c r="N366" s="14" t="str">
        <f t="shared" si="122"/>
        <v>Год 2020 (N+1)</v>
      </c>
      <c r="O366" s="14" t="str">
        <f>N366</f>
        <v>Год 2020 (N+1)</v>
      </c>
      <c r="P366" s="14" t="str">
        <f t="shared" si="122"/>
        <v>Год 2021 (N+2)</v>
      </c>
      <c r="Q366" s="14" t="str">
        <f>P366</f>
        <v>Год 2021 (N+2)</v>
      </c>
      <c r="R366" s="115" t="s">
        <v>17</v>
      </c>
      <c r="S366" s="116"/>
    </row>
    <row r="367" spans="1:19" s="62" customFormat="1" ht="32.25" customHeight="1">
      <c r="A367" s="135"/>
      <c r="B367" s="136"/>
      <c r="C367" s="139"/>
      <c r="D367" s="140"/>
      <c r="E367" s="140"/>
      <c r="F367" s="140"/>
      <c r="G367" s="136"/>
      <c r="H367" s="121"/>
      <c r="I367" s="63" t="str">
        <f>I17</f>
        <v>Факт</v>
      </c>
      <c r="J367" s="63" t="str">
        <f t="shared" ref="J367:S367" si="123">J17</f>
        <v>Факт</v>
      </c>
      <c r="K367" s="63" t="str">
        <f t="shared" si="123"/>
        <v>Факт</v>
      </c>
      <c r="L367" s="63" t="str">
        <f t="shared" si="123"/>
        <v xml:space="preserve">План </v>
      </c>
      <c r="M367" s="63" t="str">
        <f t="shared" si="123"/>
        <v>Факт</v>
      </c>
      <c r="N367" s="63" t="str">
        <f t="shared" si="123"/>
        <v xml:space="preserve">План </v>
      </c>
      <c r="O367" s="63" t="str">
        <f t="shared" si="123"/>
        <v>Предложение по корректировке утвержденного плана</v>
      </c>
      <c r="P367" s="63" t="str">
        <f t="shared" si="123"/>
        <v>План</v>
      </c>
      <c r="Q367" s="63" t="str">
        <f t="shared" si="123"/>
        <v>Предложение по корректировке утвержденного плана</v>
      </c>
      <c r="R367" s="63" t="str">
        <f t="shared" si="123"/>
        <v>План</v>
      </c>
      <c r="S367" s="63" t="str">
        <f t="shared" si="123"/>
        <v>Предложение по корректировке утвержденного плана</v>
      </c>
    </row>
    <row r="368" spans="1:19" s="66" customFormat="1" ht="9" thickBot="1">
      <c r="A368" s="147">
        <v>1</v>
      </c>
      <c r="B368" s="119"/>
      <c r="C368" s="117">
        <v>2</v>
      </c>
      <c r="D368" s="118"/>
      <c r="E368" s="118"/>
      <c r="F368" s="118"/>
      <c r="G368" s="119"/>
      <c r="H368" s="64">
        <v>3</v>
      </c>
      <c r="I368" s="65">
        <v>4</v>
      </c>
      <c r="J368" s="15">
        <v>5</v>
      </c>
      <c r="K368" s="15">
        <v>6</v>
      </c>
      <c r="L368" s="15">
        <v>7</v>
      </c>
      <c r="M368" s="15">
        <v>8</v>
      </c>
      <c r="N368" s="15">
        <v>9</v>
      </c>
      <c r="O368" s="15">
        <v>10</v>
      </c>
      <c r="P368" s="15">
        <v>11</v>
      </c>
      <c r="Q368" s="15">
        <v>12</v>
      </c>
      <c r="R368" s="15">
        <v>13</v>
      </c>
      <c r="S368" s="64">
        <v>14</v>
      </c>
    </row>
    <row r="369" spans="1:19" s="24" customFormat="1" ht="16.5" customHeight="1">
      <c r="A369" s="144" t="s">
        <v>588</v>
      </c>
      <c r="B369" s="145"/>
      <c r="C369" s="145"/>
      <c r="D369" s="145"/>
      <c r="E369" s="145"/>
      <c r="F369" s="145"/>
      <c r="G369" s="146"/>
      <c r="H369" s="21" t="s">
        <v>23</v>
      </c>
      <c r="I369" s="58">
        <f t="shared" ref="I369:Q369" si="124">I370+I427</f>
        <v>0</v>
      </c>
      <c r="J369" s="12">
        <f t="shared" si="124"/>
        <v>0</v>
      </c>
      <c r="K369" s="12">
        <f t="shared" si="124"/>
        <v>0</v>
      </c>
      <c r="L369" s="16">
        <f t="shared" si="124"/>
        <v>5.5839554978064001</v>
      </c>
      <c r="M369" s="16">
        <f t="shared" si="124"/>
        <v>5.5839554978064001</v>
      </c>
      <c r="N369" s="16">
        <f t="shared" si="124"/>
        <v>12.524000937724747</v>
      </c>
      <c r="O369" s="16">
        <f t="shared" si="124"/>
        <v>0</v>
      </c>
      <c r="P369" s="16">
        <f t="shared" si="124"/>
        <v>19.273844259636068</v>
      </c>
      <c r="Q369" s="12">
        <f t="shared" si="124"/>
        <v>0</v>
      </c>
      <c r="R369" s="16">
        <f t="shared" ref="R369:R447" si="125">I369+J369+K369+L369+N369+P369</f>
        <v>37.381800695167215</v>
      </c>
      <c r="S369" s="67">
        <f t="shared" ref="S369:S432" si="126">M369+O369+Q369</f>
        <v>5.5839554978064001</v>
      </c>
    </row>
    <row r="370" spans="1:19" s="24" customFormat="1" ht="9" customHeight="1">
      <c r="A370" s="74" t="s">
        <v>21</v>
      </c>
      <c r="B370" s="75"/>
      <c r="C370" s="93" t="s">
        <v>589</v>
      </c>
      <c r="D370" s="94"/>
      <c r="E370" s="94"/>
      <c r="F370" s="94"/>
      <c r="G370" s="95"/>
      <c r="H370" s="21" t="s">
        <v>23</v>
      </c>
      <c r="I370" s="58">
        <f t="shared" ref="I370:Q370" si="127">I371+I395+I423+I424</f>
        <v>0</v>
      </c>
      <c r="J370" s="12">
        <f t="shared" si="127"/>
        <v>0</v>
      </c>
      <c r="K370" s="12">
        <f t="shared" si="127"/>
        <v>0</v>
      </c>
      <c r="L370" s="16">
        <f t="shared" si="127"/>
        <v>5.5839554978064001</v>
      </c>
      <c r="M370" s="16">
        <f t="shared" si="127"/>
        <v>5.5839554978064001</v>
      </c>
      <c r="N370" s="16">
        <f t="shared" si="127"/>
        <v>12.524000937724747</v>
      </c>
      <c r="O370" s="16">
        <f t="shared" si="127"/>
        <v>0</v>
      </c>
      <c r="P370" s="16">
        <f t="shared" si="127"/>
        <v>19.273844259636068</v>
      </c>
      <c r="Q370" s="12">
        <f t="shared" si="127"/>
        <v>0</v>
      </c>
      <c r="R370" s="16">
        <f>I370+J370+K370+L370+N370+P370</f>
        <v>37.381800695167215</v>
      </c>
      <c r="S370" s="67">
        <f t="shared" si="126"/>
        <v>5.5839554978064001</v>
      </c>
    </row>
    <row r="371" spans="1:19" s="24" customFormat="1" ht="8.25">
      <c r="A371" s="74" t="s">
        <v>24</v>
      </c>
      <c r="B371" s="75"/>
      <c r="C371" s="90" t="s">
        <v>590</v>
      </c>
      <c r="D371" s="91"/>
      <c r="E371" s="91"/>
      <c r="F371" s="91"/>
      <c r="G371" s="92"/>
      <c r="H371" s="21" t="s">
        <v>23</v>
      </c>
      <c r="I371" s="68">
        <f t="shared" ref="I371:Q371" si="128">I372+I390+I394</f>
        <v>0</v>
      </c>
      <c r="J371" s="16">
        <f t="shared" si="128"/>
        <v>0</v>
      </c>
      <c r="K371" s="16">
        <f t="shared" si="128"/>
        <v>0</v>
      </c>
      <c r="L371" s="16">
        <f t="shared" si="128"/>
        <v>5.5839554978064001</v>
      </c>
      <c r="M371" s="16">
        <f t="shared" si="128"/>
        <v>5.5839554978064001</v>
      </c>
      <c r="N371" s="16">
        <f t="shared" si="128"/>
        <v>0</v>
      </c>
      <c r="O371" s="16">
        <f t="shared" si="128"/>
        <v>0</v>
      </c>
      <c r="P371" s="16">
        <f t="shared" si="128"/>
        <v>17.767465197360814</v>
      </c>
      <c r="Q371" s="16">
        <f t="shared" si="128"/>
        <v>0</v>
      </c>
      <c r="R371" s="16">
        <f t="shared" si="125"/>
        <v>23.351420695167214</v>
      </c>
      <c r="S371" s="67">
        <f t="shared" si="126"/>
        <v>5.5839554978064001</v>
      </c>
    </row>
    <row r="372" spans="1:19" s="24" customFormat="1" ht="16.5" customHeight="1">
      <c r="A372" s="74" t="s">
        <v>26</v>
      </c>
      <c r="B372" s="75"/>
      <c r="C372" s="87" t="s">
        <v>591</v>
      </c>
      <c r="D372" s="88"/>
      <c r="E372" s="88"/>
      <c r="F372" s="88"/>
      <c r="G372" s="89"/>
      <c r="H372" s="21" t="s">
        <v>23</v>
      </c>
      <c r="I372" s="68">
        <f t="shared" ref="I372:Q372" si="129">I373+I377+I378+I379+I380+I385+I386+I387</f>
        <v>0</v>
      </c>
      <c r="J372" s="16">
        <f t="shared" si="129"/>
        <v>0</v>
      </c>
      <c r="K372" s="16">
        <f t="shared" si="129"/>
        <v>0</v>
      </c>
      <c r="L372" s="16">
        <f t="shared" si="129"/>
        <v>5.5839554978064001</v>
      </c>
      <c r="M372" s="16">
        <f t="shared" si="129"/>
        <v>5.5839554978064001</v>
      </c>
      <c r="N372" s="16">
        <f t="shared" si="129"/>
        <v>0</v>
      </c>
      <c r="O372" s="16">
        <f t="shared" si="129"/>
        <v>0</v>
      </c>
      <c r="P372" s="16">
        <f t="shared" si="129"/>
        <v>17.767465197360814</v>
      </c>
      <c r="Q372" s="16">
        <f t="shared" si="129"/>
        <v>0</v>
      </c>
      <c r="R372" s="16">
        <f t="shared" si="125"/>
        <v>23.351420695167214</v>
      </c>
      <c r="S372" s="67">
        <f t="shared" si="126"/>
        <v>5.5839554978064001</v>
      </c>
    </row>
    <row r="373" spans="1:19" s="24" customFormat="1" ht="8.25">
      <c r="A373" s="74" t="s">
        <v>592</v>
      </c>
      <c r="B373" s="75"/>
      <c r="C373" s="78" t="s">
        <v>593</v>
      </c>
      <c r="D373" s="79"/>
      <c r="E373" s="79"/>
      <c r="F373" s="79"/>
      <c r="G373" s="80"/>
      <c r="H373" s="21" t="s">
        <v>23</v>
      </c>
      <c r="I373" s="68">
        <f t="shared" ref="I373:Q373" si="130">I374+I375+I376</f>
        <v>0</v>
      </c>
      <c r="J373" s="16">
        <f t="shared" si="130"/>
        <v>0</v>
      </c>
      <c r="K373" s="16">
        <f t="shared" si="130"/>
        <v>0</v>
      </c>
      <c r="L373" s="16">
        <f t="shared" si="130"/>
        <v>0</v>
      </c>
      <c r="M373" s="16">
        <f t="shared" si="130"/>
        <v>0</v>
      </c>
      <c r="N373" s="16">
        <f t="shared" si="130"/>
        <v>0</v>
      </c>
      <c r="O373" s="16">
        <f t="shared" si="130"/>
        <v>0</v>
      </c>
      <c r="P373" s="16">
        <f t="shared" si="130"/>
        <v>0</v>
      </c>
      <c r="Q373" s="16">
        <f t="shared" si="130"/>
        <v>0</v>
      </c>
      <c r="R373" s="16">
        <f t="shared" si="125"/>
        <v>0</v>
      </c>
      <c r="S373" s="67">
        <f t="shared" si="126"/>
        <v>0</v>
      </c>
    </row>
    <row r="374" spans="1:19" s="24" customFormat="1" ht="16.5" customHeight="1">
      <c r="A374" s="74" t="s">
        <v>594</v>
      </c>
      <c r="B374" s="75"/>
      <c r="C374" s="81" t="s">
        <v>27</v>
      </c>
      <c r="D374" s="82"/>
      <c r="E374" s="82"/>
      <c r="F374" s="82"/>
      <c r="G374" s="83"/>
      <c r="H374" s="21" t="s">
        <v>23</v>
      </c>
      <c r="I374" s="68"/>
      <c r="J374" s="16"/>
      <c r="K374" s="16"/>
      <c r="L374" s="16"/>
      <c r="M374" s="16"/>
      <c r="N374" s="16"/>
      <c r="O374" s="16"/>
      <c r="P374" s="16"/>
      <c r="Q374" s="16"/>
      <c r="R374" s="16">
        <f t="shared" si="125"/>
        <v>0</v>
      </c>
      <c r="S374" s="67">
        <f t="shared" si="126"/>
        <v>0</v>
      </c>
    </row>
    <row r="375" spans="1:19" s="24" customFormat="1" ht="16.5" customHeight="1">
      <c r="A375" s="74" t="s">
        <v>595</v>
      </c>
      <c r="B375" s="75"/>
      <c r="C375" s="81" t="s">
        <v>29</v>
      </c>
      <c r="D375" s="82"/>
      <c r="E375" s="82"/>
      <c r="F375" s="82"/>
      <c r="G375" s="83"/>
      <c r="H375" s="21" t="s">
        <v>23</v>
      </c>
      <c r="I375" s="68"/>
      <c r="J375" s="16"/>
      <c r="K375" s="16"/>
      <c r="L375" s="16"/>
      <c r="M375" s="16"/>
      <c r="N375" s="16"/>
      <c r="O375" s="16"/>
      <c r="P375" s="16"/>
      <c r="Q375" s="16"/>
      <c r="R375" s="16">
        <f t="shared" si="125"/>
        <v>0</v>
      </c>
      <c r="S375" s="67">
        <f t="shared" si="126"/>
        <v>0</v>
      </c>
    </row>
    <row r="376" spans="1:19" s="24" customFormat="1" ht="16.5" customHeight="1">
      <c r="A376" s="74" t="s">
        <v>596</v>
      </c>
      <c r="B376" s="75"/>
      <c r="C376" s="81" t="s">
        <v>31</v>
      </c>
      <c r="D376" s="82"/>
      <c r="E376" s="82"/>
      <c r="F376" s="82"/>
      <c r="G376" s="83"/>
      <c r="H376" s="21" t="s">
        <v>23</v>
      </c>
      <c r="I376" s="68"/>
      <c r="J376" s="16"/>
      <c r="K376" s="16"/>
      <c r="L376" s="16"/>
      <c r="M376" s="16"/>
      <c r="N376" s="16"/>
      <c r="O376" s="16"/>
      <c r="P376" s="16"/>
      <c r="Q376" s="16"/>
      <c r="R376" s="16">
        <f t="shared" si="125"/>
        <v>0</v>
      </c>
      <c r="S376" s="67">
        <f t="shared" si="126"/>
        <v>0</v>
      </c>
    </row>
    <row r="377" spans="1:19" s="24" customFormat="1" ht="8.25">
      <c r="A377" s="74" t="s">
        <v>597</v>
      </c>
      <c r="B377" s="75"/>
      <c r="C377" s="78" t="s">
        <v>598</v>
      </c>
      <c r="D377" s="79"/>
      <c r="E377" s="79"/>
      <c r="F377" s="79"/>
      <c r="G377" s="80"/>
      <c r="H377" s="21" t="s">
        <v>23</v>
      </c>
      <c r="I377" s="68"/>
      <c r="J377" s="16"/>
      <c r="K377" s="16"/>
      <c r="L377" s="16"/>
      <c r="M377" s="16"/>
      <c r="N377" s="16"/>
      <c r="O377" s="16"/>
      <c r="P377" s="16"/>
      <c r="Q377" s="16"/>
      <c r="R377" s="16">
        <f t="shared" si="125"/>
        <v>0</v>
      </c>
      <c r="S377" s="67">
        <f t="shared" si="126"/>
        <v>0</v>
      </c>
    </row>
    <row r="378" spans="1:19" s="24" customFormat="1" ht="8.25">
      <c r="A378" s="74" t="s">
        <v>599</v>
      </c>
      <c r="B378" s="75"/>
      <c r="C378" s="78" t="s">
        <v>600</v>
      </c>
      <c r="D378" s="79"/>
      <c r="E378" s="79"/>
      <c r="F378" s="79"/>
      <c r="G378" s="80"/>
      <c r="H378" s="21" t="s">
        <v>23</v>
      </c>
      <c r="I378" s="68"/>
      <c r="J378" s="16"/>
      <c r="K378" s="16"/>
      <c r="L378" s="16"/>
      <c r="M378" s="16"/>
      <c r="N378" s="16"/>
      <c r="O378" s="16"/>
      <c r="P378" s="16"/>
      <c r="Q378" s="16"/>
      <c r="R378" s="16">
        <f t="shared" si="125"/>
        <v>0</v>
      </c>
      <c r="S378" s="67">
        <f t="shared" si="126"/>
        <v>0</v>
      </c>
    </row>
    <row r="379" spans="1:19" s="24" customFormat="1" ht="8.25">
      <c r="A379" s="74" t="s">
        <v>601</v>
      </c>
      <c r="B379" s="75"/>
      <c r="C379" s="78" t="s">
        <v>602</v>
      </c>
      <c r="D379" s="79"/>
      <c r="E379" s="79"/>
      <c r="F379" s="79"/>
      <c r="G379" s="80"/>
      <c r="H379" s="21" t="s">
        <v>23</v>
      </c>
      <c r="I379" s="68"/>
      <c r="J379" s="16"/>
      <c r="K379" s="16"/>
      <c r="L379" s="16"/>
      <c r="M379" s="16"/>
      <c r="N379" s="16"/>
      <c r="O379" s="16"/>
      <c r="P379" s="16"/>
      <c r="Q379" s="16"/>
      <c r="R379" s="16">
        <f t="shared" si="125"/>
        <v>0</v>
      </c>
      <c r="S379" s="67">
        <f t="shared" si="126"/>
        <v>0</v>
      </c>
    </row>
    <row r="380" spans="1:19" s="24" customFormat="1" ht="8.25">
      <c r="A380" s="74" t="s">
        <v>603</v>
      </c>
      <c r="B380" s="75"/>
      <c r="C380" s="78" t="s">
        <v>604</v>
      </c>
      <c r="D380" s="79"/>
      <c r="E380" s="79"/>
      <c r="F380" s="79"/>
      <c r="G380" s="80"/>
      <c r="H380" s="21" t="s">
        <v>23</v>
      </c>
      <c r="I380" s="68"/>
      <c r="J380" s="16"/>
      <c r="K380" s="16"/>
      <c r="L380" s="16"/>
      <c r="M380" s="16"/>
      <c r="N380" s="16"/>
      <c r="O380" s="16"/>
      <c r="P380" s="16"/>
      <c r="Q380" s="16"/>
      <c r="R380" s="16">
        <f t="shared" si="125"/>
        <v>0</v>
      </c>
      <c r="S380" s="67">
        <f t="shared" si="126"/>
        <v>0</v>
      </c>
    </row>
    <row r="381" spans="1:19" s="24" customFormat="1" ht="16.5" customHeight="1">
      <c r="A381" s="74" t="s">
        <v>605</v>
      </c>
      <c r="B381" s="75"/>
      <c r="C381" s="81" t="s">
        <v>606</v>
      </c>
      <c r="D381" s="82"/>
      <c r="E381" s="82"/>
      <c r="F381" s="82"/>
      <c r="G381" s="83"/>
      <c r="H381" s="21" t="s">
        <v>23</v>
      </c>
      <c r="I381" s="68"/>
      <c r="J381" s="16"/>
      <c r="K381" s="16"/>
      <c r="L381" s="16"/>
      <c r="M381" s="16"/>
      <c r="N381" s="16"/>
      <c r="O381" s="16"/>
      <c r="P381" s="16"/>
      <c r="Q381" s="16"/>
      <c r="R381" s="16">
        <f t="shared" si="125"/>
        <v>0</v>
      </c>
      <c r="S381" s="67">
        <f t="shared" si="126"/>
        <v>0</v>
      </c>
    </row>
    <row r="382" spans="1:19" s="24" customFormat="1" ht="8.25">
      <c r="A382" s="74" t="s">
        <v>607</v>
      </c>
      <c r="B382" s="75"/>
      <c r="C382" s="84" t="s">
        <v>608</v>
      </c>
      <c r="D382" s="85"/>
      <c r="E382" s="85"/>
      <c r="F382" s="85"/>
      <c r="G382" s="86"/>
      <c r="H382" s="21" t="s">
        <v>23</v>
      </c>
      <c r="I382" s="68"/>
      <c r="J382" s="16"/>
      <c r="K382" s="16"/>
      <c r="L382" s="16"/>
      <c r="M382" s="16"/>
      <c r="N382" s="16"/>
      <c r="O382" s="16"/>
      <c r="P382" s="16"/>
      <c r="Q382" s="16"/>
      <c r="R382" s="16">
        <f t="shared" si="125"/>
        <v>0</v>
      </c>
      <c r="S382" s="67">
        <f t="shared" si="126"/>
        <v>0</v>
      </c>
    </row>
    <row r="383" spans="1:19" s="24" customFormat="1" ht="8.25">
      <c r="A383" s="74" t="s">
        <v>609</v>
      </c>
      <c r="B383" s="75"/>
      <c r="C383" s="81" t="s">
        <v>610</v>
      </c>
      <c r="D383" s="82"/>
      <c r="E383" s="82"/>
      <c r="F383" s="82"/>
      <c r="G383" s="83"/>
      <c r="H383" s="21" t="s">
        <v>23</v>
      </c>
      <c r="I383" s="68"/>
      <c r="J383" s="16"/>
      <c r="K383" s="16"/>
      <c r="L383" s="16"/>
      <c r="M383" s="16"/>
      <c r="N383" s="16"/>
      <c r="O383" s="16"/>
      <c r="P383" s="16"/>
      <c r="Q383" s="16"/>
      <c r="R383" s="16">
        <f t="shared" si="125"/>
        <v>0</v>
      </c>
      <c r="S383" s="67">
        <f t="shared" si="126"/>
        <v>0</v>
      </c>
    </row>
    <row r="384" spans="1:19" s="24" customFormat="1" ht="8.25">
      <c r="A384" s="74" t="s">
        <v>611</v>
      </c>
      <c r="B384" s="75"/>
      <c r="C384" s="84" t="s">
        <v>608</v>
      </c>
      <c r="D384" s="85"/>
      <c r="E384" s="85"/>
      <c r="F384" s="85"/>
      <c r="G384" s="86"/>
      <c r="H384" s="21" t="s">
        <v>23</v>
      </c>
      <c r="I384" s="68"/>
      <c r="J384" s="16"/>
      <c r="K384" s="16"/>
      <c r="L384" s="16"/>
      <c r="M384" s="16"/>
      <c r="N384" s="16"/>
      <c r="O384" s="16"/>
      <c r="P384" s="16"/>
      <c r="Q384" s="16"/>
      <c r="R384" s="16">
        <f t="shared" si="125"/>
        <v>0</v>
      </c>
      <c r="S384" s="67">
        <f t="shared" si="126"/>
        <v>0</v>
      </c>
    </row>
    <row r="385" spans="1:19" s="24" customFormat="1" ht="8.25">
      <c r="A385" s="74" t="s">
        <v>612</v>
      </c>
      <c r="B385" s="75"/>
      <c r="C385" s="78" t="s">
        <v>613</v>
      </c>
      <c r="D385" s="79"/>
      <c r="E385" s="79"/>
      <c r="F385" s="79"/>
      <c r="G385" s="80"/>
      <c r="H385" s="21" t="s">
        <v>23</v>
      </c>
      <c r="I385" s="68"/>
      <c r="J385" s="16"/>
      <c r="K385" s="16"/>
      <c r="L385" s="16">
        <v>5.5839554978064001</v>
      </c>
      <c r="M385" s="16">
        <v>5.5839554978064001</v>
      </c>
      <c r="N385" s="16">
        <v>0</v>
      </c>
      <c r="O385" s="16"/>
      <c r="P385" s="16">
        <v>17.767465197360814</v>
      </c>
      <c r="Q385" s="16"/>
      <c r="R385" s="16">
        <f t="shared" si="125"/>
        <v>23.351420695167214</v>
      </c>
      <c r="S385" s="67">
        <f t="shared" si="126"/>
        <v>5.5839554978064001</v>
      </c>
    </row>
    <row r="386" spans="1:19" s="24" customFormat="1" ht="8.25">
      <c r="A386" s="74" t="s">
        <v>614</v>
      </c>
      <c r="B386" s="75"/>
      <c r="C386" s="78" t="s">
        <v>423</v>
      </c>
      <c r="D386" s="79"/>
      <c r="E386" s="79"/>
      <c r="F386" s="79"/>
      <c r="G386" s="80"/>
      <c r="H386" s="21" t="s">
        <v>23</v>
      </c>
      <c r="I386" s="68"/>
      <c r="J386" s="16"/>
      <c r="K386" s="16"/>
      <c r="L386" s="16"/>
      <c r="M386" s="16"/>
      <c r="N386" s="16"/>
      <c r="O386" s="16"/>
      <c r="P386" s="16"/>
      <c r="Q386" s="16"/>
      <c r="R386" s="16">
        <f t="shared" si="125"/>
        <v>0</v>
      </c>
      <c r="S386" s="67">
        <f t="shared" si="126"/>
        <v>0</v>
      </c>
    </row>
    <row r="387" spans="1:19" s="24" customFormat="1" ht="16.5" customHeight="1">
      <c r="A387" s="74" t="s">
        <v>615</v>
      </c>
      <c r="B387" s="75"/>
      <c r="C387" s="78" t="s">
        <v>616</v>
      </c>
      <c r="D387" s="79"/>
      <c r="E387" s="79"/>
      <c r="F387" s="79"/>
      <c r="G387" s="80"/>
      <c r="H387" s="21" t="s">
        <v>23</v>
      </c>
      <c r="I387" s="68">
        <f t="shared" ref="I387:Q387" si="131">I388+I389</f>
        <v>0</v>
      </c>
      <c r="J387" s="16">
        <f t="shared" si="131"/>
        <v>0</v>
      </c>
      <c r="K387" s="16">
        <f t="shared" si="131"/>
        <v>0</v>
      </c>
      <c r="L387" s="16">
        <f t="shared" si="131"/>
        <v>0</v>
      </c>
      <c r="M387" s="16">
        <f t="shared" si="131"/>
        <v>0</v>
      </c>
      <c r="N387" s="16">
        <f t="shared" si="131"/>
        <v>0</v>
      </c>
      <c r="O387" s="16">
        <f t="shared" si="131"/>
        <v>0</v>
      </c>
      <c r="P387" s="16">
        <f t="shared" si="131"/>
        <v>0</v>
      </c>
      <c r="Q387" s="16">
        <f t="shared" si="131"/>
        <v>0</v>
      </c>
      <c r="R387" s="16">
        <f t="shared" si="125"/>
        <v>0</v>
      </c>
      <c r="S387" s="67">
        <f t="shared" si="126"/>
        <v>0</v>
      </c>
    </row>
    <row r="388" spans="1:19" s="24" customFormat="1" ht="8.25">
      <c r="A388" s="74" t="s">
        <v>617</v>
      </c>
      <c r="B388" s="75"/>
      <c r="C388" s="81" t="s">
        <v>47</v>
      </c>
      <c r="D388" s="82"/>
      <c r="E388" s="82"/>
      <c r="F388" s="82"/>
      <c r="G388" s="83"/>
      <c r="H388" s="21" t="s">
        <v>23</v>
      </c>
      <c r="I388" s="68"/>
      <c r="J388" s="16"/>
      <c r="K388" s="16"/>
      <c r="L388" s="16"/>
      <c r="M388" s="16"/>
      <c r="N388" s="16"/>
      <c r="O388" s="16"/>
      <c r="P388" s="16"/>
      <c r="Q388" s="16"/>
      <c r="R388" s="16">
        <f t="shared" si="125"/>
        <v>0</v>
      </c>
      <c r="S388" s="67">
        <f t="shared" si="126"/>
        <v>0</v>
      </c>
    </row>
    <row r="389" spans="1:19" s="24" customFormat="1" ht="8.25">
      <c r="A389" s="74" t="s">
        <v>618</v>
      </c>
      <c r="B389" s="75"/>
      <c r="C389" s="81" t="s">
        <v>49</v>
      </c>
      <c r="D389" s="82"/>
      <c r="E389" s="82"/>
      <c r="F389" s="82"/>
      <c r="G389" s="83"/>
      <c r="H389" s="21" t="s">
        <v>23</v>
      </c>
      <c r="I389" s="68"/>
      <c r="J389" s="16"/>
      <c r="K389" s="16"/>
      <c r="L389" s="16"/>
      <c r="M389" s="16"/>
      <c r="N389" s="16"/>
      <c r="O389" s="16"/>
      <c r="P389" s="16"/>
      <c r="Q389" s="16"/>
      <c r="R389" s="16">
        <f t="shared" si="125"/>
        <v>0</v>
      </c>
      <c r="S389" s="67">
        <f t="shared" si="126"/>
        <v>0</v>
      </c>
    </row>
    <row r="390" spans="1:19" s="24" customFormat="1" ht="16.5" customHeight="1">
      <c r="A390" s="74" t="s">
        <v>28</v>
      </c>
      <c r="B390" s="75"/>
      <c r="C390" s="87" t="s">
        <v>619</v>
      </c>
      <c r="D390" s="88"/>
      <c r="E390" s="88"/>
      <c r="F390" s="88"/>
      <c r="G390" s="89"/>
      <c r="H390" s="21" t="s">
        <v>23</v>
      </c>
      <c r="I390" s="68">
        <f t="shared" ref="I390:Q390" si="132">I391+I392+I393</f>
        <v>0</v>
      </c>
      <c r="J390" s="16">
        <f t="shared" si="132"/>
        <v>0</v>
      </c>
      <c r="K390" s="16">
        <f t="shared" si="132"/>
        <v>0</v>
      </c>
      <c r="L390" s="16">
        <f t="shared" si="132"/>
        <v>0</v>
      </c>
      <c r="M390" s="16">
        <f t="shared" si="132"/>
        <v>0</v>
      </c>
      <c r="N390" s="16">
        <f t="shared" si="132"/>
        <v>0</v>
      </c>
      <c r="O390" s="16">
        <f t="shared" si="132"/>
        <v>0</v>
      </c>
      <c r="P390" s="16">
        <f t="shared" si="132"/>
        <v>0</v>
      </c>
      <c r="Q390" s="16">
        <f t="shared" si="132"/>
        <v>0</v>
      </c>
      <c r="R390" s="16">
        <f t="shared" si="125"/>
        <v>0</v>
      </c>
      <c r="S390" s="67">
        <f t="shared" si="126"/>
        <v>0</v>
      </c>
    </row>
    <row r="391" spans="1:19" s="24" customFormat="1" ht="16.5" customHeight="1">
      <c r="A391" s="74" t="s">
        <v>620</v>
      </c>
      <c r="B391" s="75"/>
      <c r="C391" s="78" t="s">
        <v>27</v>
      </c>
      <c r="D391" s="79"/>
      <c r="E391" s="79"/>
      <c r="F391" s="79"/>
      <c r="G391" s="80"/>
      <c r="H391" s="21" t="s">
        <v>23</v>
      </c>
      <c r="I391" s="68"/>
      <c r="J391" s="16"/>
      <c r="K391" s="16"/>
      <c r="L391" s="16"/>
      <c r="M391" s="16"/>
      <c r="N391" s="16"/>
      <c r="O391" s="16"/>
      <c r="P391" s="16"/>
      <c r="Q391" s="16"/>
      <c r="R391" s="16">
        <f t="shared" si="125"/>
        <v>0</v>
      </c>
      <c r="S391" s="67">
        <f t="shared" si="126"/>
        <v>0</v>
      </c>
    </row>
    <row r="392" spans="1:19" s="24" customFormat="1" ht="16.5" customHeight="1">
      <c r="A392" s="74" t="s">
        <v>621</v>
      </c>
      <c r="B392" s="75"/>
      <c r="C392" s="78" t="s">
        <v>29</v>
      </c>
      <c r="D392" s="79"/>
      <c r="E392" s="79"/>
      <c r="F392" s="79"/>
      <c r="G392" s="80"/>
      <c r="H392" s="21" t="s">
        <v>23</v>
      </c>
      <c r="I392" s="68"/>
      <c r="J392" s="16"/>
      <c r="K392" s="16"/>
      <c r="L392" s="16"/>
      <c r="M392" s="16"/>
      <c r="N392" s="16"/>
      <c r="O392" s="16"/>
      <c r="P392" s="16"/>
      <c r="Q392" s="16"/>
      <c r="R392" s="16">
        <f t="shared" si="125"/>
        <v>0</v>
      </c>
      <c r="S392" s="67">
        <f t="shared" si="126"/>
        <v>0</v>
      </c>
    </row>
    <row r="393" spans="1:19" s="24" customFormat="1" ht="16.5" customHeight="1">
      <c r="A393" s="74" t="s">
        <v>622</v>
      </c>
      <c r="B393" s="75"/>
      <c r="C393" s="78" t="s">
        <v>31</v>
      </c>
      <c r="D393" s="79"/>
      <c r="E393" s="79"/>
      <c r="F393" s="79"/>
      <c r="G393" s="80"/>
      <c r="H393" s="21" t="s">
        <v>23</v>
      </c>
      <c r="I393" s="68"/>
      <c r="J393" s="16"/>
      <c r="K393" s="16"/>
      <c r="L393" s="16"/>
      <c r="M393" s="16"/>
      <c r="N393" s="16"/>
      <c r="O393" s="16"/>
      <c r="P393" s="16"/>
      <c r="Q393" s="16"/>
      <c r="R393" s="16">
        <f t="shared" si="125"/>
        <v>0</v>
      </c>
      <c r="S393" s="67">
        <f t="shared" si="126"/>
        <v>0</v>
      </c>
    </row>
    <row r="394" spans="1:19" s="24" customFormat="1" ht="8.25">
      <c r="A394" s="74" t="s">
        <v>30</v>
      </c>
      <c r="B394" s="75"/>
      <c r="C394" s="87" t="s">
        <v>623</v>
      </c>
      <c r="D394" s="88"/>
      <c r="E394" s="88"/>
      <c r="F394" s="88"/>
      <c r="G394" s="89"/>
      <c r="H394" s="21" t="s">
        <v>23</v>
      </c>
      <c r="I394" s="68"/>
      <c r="J394" s="16"/>
      <c r="K394" s="16"/>
      <c r="L394" s="16"/>
      <c r="M394" s="16"/>
      <c r="N394" s="16"/>
      <c r="O394" s="16"/>
      <c r="P394" s="16"/>
      <c r="Q394" s="16"/>
      <c r="R394" s="16">
        <f t="shared" si="125"/>
        <v>0</v>
      </c>
      <c r="S394" s="67">
        <f t="shared" si="126"/>
        <v>0</v>
      </c>
    </row>
    <row r="395" spans="1:19" s="24" customFormat="1" ht="8.25">
      <c r="A395" s="74" t="s">
        <v>32</v>
      </c>
      <c r="B395" s="75"/>
      <c r="C395" s="90" t="s">
        <v>624</v>
      </c>
      <c r="D395" s="91"/>
      <c r="E395" s="91"/>
      <c r="F395" s="91"/>
      <c r="G395" s="92"/>
      <c r="H395" s="21" t="s">
        <v>23</v>
      </c>
      <c r="I395" s="68">
        <f t="shared" ref="I395:Q395" si="133">I396+I409+I410</f>
        <v>0</v>
      </c>
      <c r="J395" s="16">
        <f t="shared" si="133"/>
        <v>0</v>
      </c>
      <c r="K395" s="16">
        <f t="shared" si="133"/>
        <v>0</v>
      </c>
      <c r="L395" s="16">
        <f t="shared" si="133"/>
        <v>0</v>
      </c>
      <c r="M395" s="16">
        <f t="shared" si="133"/>
        <v>0</v>
      </c>
      <c r="N395" s="16">
        <f t="shared" si="133"/>
        <v>12.524000937724747</v>
      </c>
      <c r="O395" s="16">
        <f t="shared" si="133"/>
        <v>0</v>
      </c>
      <c r="P395" s="16">
        <f t="shared" si="133"/>
        <v>1.5063790622752544</v>
      </c>
      <c r="Q395" s="16">
        <f t="shared" si="133"/>
        <v>0</v>
      </c>
      <c r="R395" s="16">
        <f t="shared" si="125"/>
        <v>14.030380000000001</v>
      </c>
      <c r="S395" s="67">
        <f t="shared" si="126"/>
        <v>0</v>
      </c>
    </row>
    <row r="396" spans="1:19" s="24" customFormat="1" ht="8.25">
      <c r="A396" s="74" t="s">
        <v>625</v>
      </c>
      <c r="B396" s="75"/>
      <c r="C396" s="87" t="s">
        <v>626</v>
      </c>
      <c r="D396" s="88"/>
      <c r="E396" s="88"/>
      <c r="F396" s="88"/>
      <c r="G396" s="89"/>
      <c r="H396" s="21" t="s">
        <v>23</v>
      </c>
      <c r="I396" s="68">
        <f>I397+I401+I402+I403+I404+I405+I406</f>
        <v>0</v>
      </c>
      <c r="J396" s="16">
        <f t="shared" ref="J396:Q396" si="134">J397+J401+J402+J403+J404+J405+J406</f>
        <v>0</v>
      </c>
      <c r="K396" s="16">
        <f t="shared" si="134"/>
        <v>0</v>
      </c>
      <c r="L396" s="16">
        <f t="shared" si="134"/>
        <v>0</v>
      </c>
      <c r="M396" s="16">
        <f t="shared" si="134"/>
        <v>0</v>
      </c>
      <c r="N396" s="16">
        <f t="shared" si="134"/>
        <v>0</v>
      </c>
      <c r="O396" s="16">
        <f t="shared" si="134"/>
        <v>0</v>
      </c>
      <c r="P396" s="16">
        <f t="shared" si="134"/>
        <v>0</v>
      </c>
      <c r="Q396" s="16">
        <f t="shared" si="134"/>
        <v>0</v>
      </c>
      <c r="R396" s="16">
        <f t="shared" si="125"/>
        <v>0</v>
      </c>
      <c r="S396" s="67">
        <f t="shared" si="126"/>
        <v>0</v>
      </c>
    </row>
    <row r="397" spans="1:19" s="24" customFormat="1" ht="8.25">
      <c r="A397" s="74" t="s">
        <v>627</v>
      </c>
      <c r="B397" s="75"/>
      <c r="C397" s="78" t="s">
        <v>628</v>
      </c>
      <c r="D397" s="79"/>
      <c r="E397" s="79"/>
      <c r="F397" s="79"/>
      <c r="G397" s="80"/>
      <c r="H397" s="21" t="s">
        <v>23</v>
      </c>
      <c r="I397" s="68">
        <f t="shared" ref="I397:Q397" si="135">I398+I399+I400</f>
        <v>0</v>
      </c>
      <c r="J397" s="16">
        <f t="shared" si="135"/>
        <v>0</v>
      </c>
      <c r="K397" s="16">
        <f t="shared" si="135"/>
        <v>0</v>
      </c>
      <c r="L397" s="16">
        <f t="shared" si="135"/>
        <v>0</v>
      </c>
      <c r="M397" s="16">
        <f t="shared" si="135"/>
        <v>0</v>
      </c>
      <c r="N397" s="16">
        <f t="shared" si="135"/>
        <v>0</v>
      </c>
      <c r="O397" s="16">
        <f t="shared" si="135"/>
        <v>0</v>
      </c>
      <c r="P397" s="16">
        <f t="shared" si="135"/>
        <v>0</v>
      </c>
      <c r="Q397" s="16">
        <f t="shared" si="135"/>
        <v>0</v>
      </c>
      <c r="R397" s="16">
        <f t="shared" si="125"/>
        <v>0</v>
      </c>
      <c r="S397" s="67">
        <f t="shared" si="126"/>
        <v>0</v>
      </c>
    </row>
    <row r="398" spans="1:19" s="24" customFormat="1" ht="16.5" customHeight="1">
      <c r="A398" s="74" t="s">
        <v>629</v>
      </c>
      <c r="B398" s="75"/>
      <c r="C398" s="78" t="s">
        <v>27</v>
      </c>
      <c r="D398" s="79"/>
      <c r="E398" s="79"/>
      <c r="F398" s="79"/>
      <c r="G398" s="80"/>
      <c r="H398" s="21" t="s">
        <v>23</v>
      </c>
      <c r="I398" s="58"/>
      <c r="J398" s="12"/>
      <c r="K398" s="12"/>
      <c r="L398" s="12"/>
      <c r="M398" s="12"/>
      <c r="N398" s="16"/>
      <c r="O398" s="16"/>
      <c r="P398" s="16"/>
      <c r="Q398" s="16"/>
      <c r="R398" s="16">
        <f t="shared" si="125"/>
        <v>0</v>
      </c>
      <c r="S398" s="67">
        <f t="shared" si="126"/>
        <v>0</v>
      </c>
    </row>
    <row r="399" spans="1:19" s="24" customFormat="1" ht="16.5" customHeight="1">
      <c r="A399" s="74" t="s">
        <v>630</v>
      </c>
      <c r="B399" s="75"/>
      <c r="C399" s="78" t="s">
        <v>29</v>
      </c>
      <c r="D399" s="79"/>
      <c r="E399" s="79"/>
      <c r="F399" s="79"/>
      <c r="G399" s="80"/>
      <c r="H399" s="21" t="s">
        <v>23</v>
      </c>
      <c r="I399" s="58"/>
      <c r="J399" s="12"/>
      <c r="K399" s="12"/>
      <c r="L399" s="12"/>
      <c r="M399" s="12"/>
      <c r="N399" s="16"/>
      <c r="O399" s="16"/>
      <c r="P399" s="16"/>
      <c r="Q399" s="16"/>
      <c r="R399" s="16">
        <f t="shared" si="125"/>
        <v>0</v>
      </c>
      <c r="S399" s="67">
        <f t="shared" si="126"/>
        <v>0</v>
      </c>
    </row>
    <row r="400" spans="1:19" s="24" customFormat="1" ht="16.5" customHeight="1">
      <c r="A400" s="74" t="s">
        <v>631</v>
      </c>
      <c r="B400" s="75"/>
      <c r="C400" s="78" t="s">
        <v>31</v>
      </c>
      <c r="D400" s="79"/>
      <c r="E400" s="79"/>
      <c r="F400" s="79"/>
      <c r="G400" s="80"/>
      <c r="H400" s="21" t="s">
        <v>23</v>
      </c>
      <c r="I400" s="58"/>
      <c r="J400" s="12"/>
      <c r="K400" s="12"/>
      <c r="L400" s="12"/>
      <c r="M400" s="12"/>
      <c r="N400" s="16"/>
      <c r="O400" s="16"/>
      <c r="P400" s="16"/>
      <c r="Q400" s="16"/>
      <c r="R400" s="16">
        <f t="shared" si="125"/>
        <v>0</v>
      </c>
      <c r="S400" s="67">
        <f t="shared" si="126"/>
        <v>0</v>
      </c>
    </row>
    <row r="401" spans="1:19" s="24" customFormat="1" ht="8.25">
      <c r="A401" s="74" t="s">
        <v>632</v>
      </c>
      <c r="B401" s="75"/>
      <c r="C401" s="78" t="s">
        <v>409</v>
      </c>
      <c r="D401" s="79"/>
      <c r="E401" s="79"/>
      <c r="F401" s="79"/>
      <c r="G401" s="80"/>
      <c r="H401" s="21" t="s">
        <v>23</v>
      </c>
      <c r="I401" s="58"/>
      <c r="J401" s="12"/>
      <c r="K401" s="12"/>
      <c r="L401" s="12"/>
      <c r="M401" s="12"/>
      <c r="N401" s="16"/>
      <c r="O401" s="16"/>
      <c r="P401" s="16"/>
      <c r="Q401" s="16"/>
      <c r="R401" s="16">
        <f t="shared" si="125"/>
        <v>0</v>
      </c>
      <c r="S401" s="67">
        <f t="shared" si="126"/>
        <v>0</v>
      </c>
    </row>
    <row r="402" spans="1:19" s="24" customFormat="1" ht="8.25">
      <c r="A402" s="74" t="s">
        <v>633</v>
      </c>
      <c r="B402" s="75"/>
      <c r="C402" s="78" t="s">
        <v>412</v>
      </c>
      <c r="D402" s="79"/>
      <c r="E402" s="79"/>
      <c r="F402" s="79"/>
      <c r="G402" s="80"/>
      <c r="H402" s="21" t="s">
        <v>23</v>
      </c>
      <c r="I402" s="58"/>
      <c r="J402" s="12"/>
      <c r="K402" s="12"/>
      <c r="L402" s="12"/>
      <c r="M402" s="12"/>
      <c r="N402" s="16"/>
      <c r="O402" s="16"/>
      <c r="P402" s="16"/>
      <c r="Q402" s="16"/>
      <c r="R402" s="16">
        <f t="shared" si="125"/>
        <v>0</v>
      </c>
      <c r="S402" s="67">
        <f t="shared" si="126"/>
        <v>0</v>
      </c>
    </row>
    <row r="403" spans="1:19" s="24" customFormat="1" ht="8.25">
      <c r="A403" s="74" t="s">
        <v>634</v>
      </c>
      <c r="B403" s="75"/>
      <c r="C403" s="78" t="s">
        <v>415</v>
      </c>
      <c r="D403" s="79"/>
      <c r="E403" s="79"/>
      <c r="F403" s="79"/>
      <c r="G403" s="80"/>
      <c r="H403" s="21" t="s">
        <v>23</v>
      </c>
      <c r="I403" s="58"/>
      <c r="J403" s="12"/>
      <c r="K403" s="12"/>
      <c r="L403" s="12"/>
      <c r="M403" s="12"/>
      <c r="N403" s="16"/>
      <c r="O403" s="16"/>
      <c r="P403" s="16"/>
      <c r="Q403" s="16"/>
      <c r="R403" s="16">
        <f t="shared" si="125"/>
        <v>0</v>
      </c>
      <c r="S403" s="67">
        <f t="shared" si="126"/>
        <v>0</v>
      </c>
    </row>
    <row r="404" spans="1:19" s="24" customFormat="1" ht="8.25">
      <c r="A404" s="74" t="s">
        <v>635</v>
      </c>
      <c r="B404" s="75"/>
      <c r="C404" s="78" t="s">
        <v>421</v>
      </c>
      <c r="D404" s="79"/>
      <c r="E404" s="79"/>
      <c r="F404" s="79"/>
      <c r="G404" s="80"/>
      <c r="H404" s="21" t="s">
        <v>23</v>
      </c>
      <c r="I404" s="68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/>
      <c r="P404" s="16">
        <v>0</v>
      </c>
      <c r="Q404" s="16"/>
      <c r="R404" s="16">
        <f t="shared" si="125"/>
        <v>0</v>
      </c>
      <c r="S404" s="67">
        <f t="shared" si="126"/>
        <v>0</v>
      </c>
    </row>
    <row r="405" spans="1:19" s="24" customFormat="1" ht="8.25">
      <c r="A405" s="74" t="s">
        <v>636</v>
      </c>
      <c r="B405" s="75"/>
      <c r="C405" s="78" t="s">
        <v>423</v>
      </c>
      <c r="D405" s="79"/>
      <c r="E405" s="79"/>
      <c r="F405" s="79"/>
      <c r="G405" s="80"/>
      <c r="H405" s="21" t="s">
        <v>23</v>
      </c>
      <c r="I405" s="68"/>
      <c r="J405" s="16"/>
      <c r="K405" s="16"/>
      <c r="L405" s="16"/>
      <c r="M405" s="16"/>
      <c r="N405" s="16"/>
      <c r="O405" s="16"/>
      <c r="P405" s="16"/>
      <c r="Q405" s="16"/>
      <c r="R405" s="16">
        <f t="shared" si="125"/>
        <v>0</v>
      </c>
      <c r="S405" s="67">
        <f t="shared" si="126"/>
        <v>0</v>
      </c>
    </row>
    <row r="406" spans="1:19" s="24" customFormat="1" ht="16.5" customHeight="1">
      <c r="A406" s="74" t="s">
        <v>637</v>
      </c>
      <c r="B406" s="75"/>
      <c r="C406" s="78" t="s">
        <v>638</v>
      </c>
      <c r="D406" s="79"/>
      <c r="E406" s="79"/>
      <c r="F406" s="79"/>
      <c r="G406" s="80"/>
      <c r="H406" s="21" t="s">
        <v>23</v>
      </c>
      <c r="I406" s="68">
        <f t="shared" ref="I406:Q406" si="136">I407+I408</f>
        <v>0</v>
      </c>
      <c r="J406" s="16">
        <f t="shared" si="136"/>
        <v>0</v>
      </c>
      <c r="K406" s="16">
        <f t="shared" si="136"/>
        <v>0</v>
      </c>
      <c r="L406" s="16">
        <f t="shared" si="136"/>
        <v>0</v>
      </c>
      <c r="M406" s="16">
        <f t="shared" si="136"/>
        <v>0</v>
      </c>
      <c r="N406" s="16">
        <f t="shared" si="136"/>
        <v>0</v>
      </c>
      <c r="O406" s="16">
        <f t="shared" si="136"/>
        <v>0</v>
      </c>
      <c r="P406" s="16">
        <f t="shared" si="136"/>
        <v>0</v>
      </c>
      <c r="Q406" s="16">
        <f t="shared" si="136"/>
        <v>0</v>
      </c>
      <c r="R406" s="16">
        <f t="shared" si="125"/>
        <v>0</v>
      </c>
      <c r="S406" s="67">
        <f t="shared" si="126"/>
        <v>0</v>
      </c>
    </row>
    <row r="407" spans="1:19" s="24" customFormat="1" ht="8.25">
      <c r="A407" s="74" t="s">
        <v>639</v>
      </c>
      <c r="B407" s="75"/>
      <c r="C407" s="81" t="s">
        <v>47</v>
      </c>
      <c r="D407" s="82"/>
      <c r="E407" s="82"/>
      <c r="F407" s="82"/>
      <c r="G407" s="83"/>
      <c r="H407" s="21" t="s">
        <v>23</v>
      </c>
      <c r="I407" s="68"/>
      <c r="J407" s="16"/>
      <c r="K407" s="16"/>
      <c r="L407" s="16"/>
      <c r="M407" s="16"/>
      <c r="N407" s="16"/>
      <c r="O407" s="16"/>
      <c r="P407" s="16"/>
      <c r="Q407" s="16"/>
      <c r="R407" s="16">
        <f t="shared" si="125"/>
        <v>0</v>
      </c>
      <c r="S407" s="67">
        <f t="shared" si="126"/>
        <v>0</v>
      </c>
    </row>
    <row r="408" spans="1:19" s="24" customFormat="1" ht="8.25">
      <c r="A408" s="74" t="s">
        <v>640</v>
      </c>
      <c r="B408" s="75"/>
      <c r="C408" s="81" t="s">
        <v>49</v>
      </c>
      <c r="D408" s="82"/>
      <c r="E408" s="82"/>
      <c r="F408" s="82"/>
      <c r="G408" s="83"/>
      <c r="H408" s="21" t="s">
        <v>23</v>
      </c>
      <c r="I408" s="68"/>
      <c r="J408" s="16"/>
      <c r="K408" s="16"/>
      <c r="L408" s="16"/>
      <c r="M408" s="16"/>
      <c r="N408" s="16"/>
      <c r="O408" s="16"/>
      <c r="P408" s="16"/>
      <c r="Q408" s="16"/>
      <c r="R408" s="16">
        <f t="shared" si="125"/>
        <v>0</v>
      </c>
      <c r="S408" s="67">
        <f t="shared" si="126"/>
        <v>0</v>
      </c>
    </row>
    <row r="409" spans="1:19" s="24" customFormat="1" ht="8.25">
      <c r="A409" s="74" t="s">
        <v>641</v>
      </c>
      <c r="B409" s="75"/>
      <c r="C409" s="87" t="s">
        <v>642</v>
      </c>
      <c r="D409" s="88"/>
      <c r="E409" s="88"/>
      <c r="F409" s="88"/>
      <c r="G409" s="89"/>
      <c r="H409" s="21" t="s">
        <v>23</v>
      </c>
      <c r="I409" s="68"/>
      <c r="J409" s="16"/>
      <c r="K409" s="16"/>
      <c r="L409" s="16"/>
      <c r="M409" s="16"/>
      <c r="N409" s="16"/>
      <c r="O409" s="16"/>
      <c r="P409" s="16"/>
      <c r="Q409" s="16"/>
      <c r="R409" s="16">
        <f t="shared" si="125"/>
        <v>0</v>
      </c>
      <c r="S409" s="67">
        <f t="shared" si="126"/>
        <v>0</v>
      </c>
    </row>
    <row r="410" spans="1:19" s="24" customFormat="1" ht="8.25">
      <c r="A410" s="74" t="s">
        <v>643</v>
      </c>
      <c r="B410" s="75"/>
      <c r="C410" s="87" t="s">
        <v>644</v>
      </c>
      <c r="D410" s="88"/>
      <c r="E410" s="88"/>
      <c r="F410" s="88"/>
      <c r="G410" s="89"/>
      <c r="H410" s="21" t="s">
        <v>23</v>
      </c>
      <c r="I410" s="68">
        <f t="shared" ref="I410:Q410" si="137">I411+I415+I416+I417+I418+I419+I420</f>
        <v>0</v>
      </c>
      <c r="J410" s="16">
        <f t="shared" si="137"/>
        <v>0</v>
      </c>
      <c r="K410" s="16">
        <f t="shared" si="137"/>
        <v>0</v>
      </c>
      <c r="L410" s="16">
        <f>L411+L415+L416+L417+L418+L419+L420</f>
        <v>0</v>
      </c>
      <c r="M410" s="16">
        <f t="shared" si="137"/>
        <v>0</v>
      </c>
      <c r="N410" s="16">
        <f t="shared" si="137"/>
        <v>12.524000937724747</v>
      </c>
      <c r="O410" s="16">
        <f t="shared" si="137"/>
        <v>0</v>
      </c>
      <c r="P410" s="16">
        <f t="shared" si="137"/>
        <v>1.5063790622752544</v>
      </c>
      <c r="Q410" s="16">
        <f t="shared" si="137"/>
        <v>0</v>
      </c>
      <c r="R410" s="16">
        <f t="shared" si="125"/>
        <v>14.030380000000001</v>
      </c>
      <c r="S410" s="67">
        <f t="shared" si="126"/>
        <v>0</v>
      </c>
    </row>
    <row r="411" spans="1:19" s="24" customFormat="1" ht="8.25">
      <c r="A411" s="74" t="s">
        <v>645</v>
      </c>
      <c r="B411" s="75"/>
      <c r="C411" s="78" t="s">
        <v>628</v>
      </c>
      <c r="D411" s="79"/>
      <c r="E411" s="79"/>
      <c r="F411" s="79"/>
      <c r="G411" s="80"/>
      <c r="H411" s="21" t="s">
        <v>23</v>
      </c>
      <c r="I411" s="58"/>
      <c r="J411" s="12"/>
      <c r="K411" s="12"/>
      <c r="L411" s="12"/>
      <c r="M411" s="12"/>
      <c r="N411" s="16"/>
      <c r="O411" s="16"/>
      <c r="P411" s="16"/>
      <c r="Q411" s="16"/>
      <c r="R411" s="16">
        <f t="shared" si="125"/>
        <v>0</v>
      </c>
      <c r="S411" s="67">
        <f t="shared" si="126"/>
        <v>0</v>
      </c>
    </row>
    <row r="412" spans="1:19" s="24" customFormat="1" ht="16.5" customHeight="1">
      <c r="A412" s="74" t="s">
        <v>646</v>
      </c>
      <c r="B412" s="75"/>
      <c r="C412" s="78" t="s">
        <v>27</v>
      </c>
      <c r="D412" s="79"/>
      <c r="E412" s="79"/>
      <c r="F412" s="79"/>
      <c r="G412" s="80"/>
      <c r="H412" s="21" t="s">
        <v>23</v>
      </c>
      <c r="I412" s="58"/>
      <c r="J412" s="12"/>
      <c r="K412" s="12"/>
      <c r="L412" s="12"/>
      <c r="M412" s="12"/>
      <c r="N412" s="16"/>
      <c r="O412" s="16"/>
      <c r="P412" s="16"/>
      <c r="Q412" s="16"/>
      <c r="R412" s="16">
        <f t="shared" si="125"/>
        <v>0</v>
      </c>
      <c r="S412" s="67">
        <f t="shared" si="126"/>
        <v>0</v>
      </c>
    </row>
    <row r="413" spans="1:19" s="24" customFormat="1" ht="16.5" customHeight="1">
      <c r="A413" s="74" t="s">
        <v>647</v>
      </c>
      <c r="B413" s="75"/>
      <c r="C413" s="78" t="s">
        <v>29</v>
      </c>
      <c r="D413" s="79"/>
      <c r="E413" s="79"/>
      <c r="F413" s="79"/>
      <c r="G413" s="80"/>
      <c r="H413" s="21" t="s">
        <v>23</v>
      </c>
      <c r="I413" s="58"/>
      <c r="J413" s="12"/>
      <c r="K413" s="12"/>
      <c r="L413" s="12"/>
      <c r="M413" s="12"/>
      <c r="N413" s="16"/>
      <c r="O413" s="16"/>
      <c r="P413" s="16"/>
      <c r="Q413" s="16"/>
      <c r="R413" s="16">
        <f t="shared" si="125"/>
        <v>0</v>
      </c>
      <c r="S413" s="67">
        <f t="shared" si="126"/>
        <v>0</v>
      </c>
    </row>
    <row r="414" spans="1:19" s="24" customFormat="1" ht="16.5" customHeight="1">
      <c r="A414" s="74" t="s">
        <v>647</v>
      </c>
      <c r="B414" s="75"/>
      <c r="C414" s="78" t="s">
        <v>31</v>
      </c>
      <c r="D414" s="79"/>
      <c r="E414" s="79"/>
      <c r="F414" s="79"/>
      <c r="G414" s="80"/>
      <c r="H414" s="21" t="s">
        <v>23</v>
      </c>
      <c r="I414" s="58"/>
      <c r="J414" s="12"/>
      <c r="K414" s="12"/>
      <c r="L414" s="12"/>
      <c r="M414" s="12"/>
      <c r="N414" s="16"/>
      <c r="O414" s="16"/>
      <c r="P414" s="16"/>
      <c r="Q414" s="16"/>
      <c r="R414" s="16">
        <f t="shared" si="125"/>
        <v>0</v>
      </c>
      <c r="S414" s="67">
        <f t="shared" si="126"/>
        <v>0</v>
      </c>
    </row>
    <row r="415" spans="1:19" s="24" customFormat="1" ht="8.25">
      <c r="A415" s="74" t="s">
        <v>648</v>
      </c>
      <c r="B415" s="75"/>
      <c r="C415" s="78" t="s">
        <v>409</v>
      </c>
      <c r="D415" s="79"/>
      <c r="E415" s="79"/>
      <c r="F415" s="79"/>
      <c r="G415" s="80"/>
      <c r="H415" s="21" t="s">
        <v>23</v>
      </c>
      <c r="I415" s="58"/>
      <c r="J415" s="12"/>
      <c r="K415" s="12"/>
      <c r="L415" s="12"/>
      <c r="M415" s="12"/>
      <c r="N415" s="16"/>
      <c r="O415" s="16"/>
      <c r="P415" s="16"/>
      <c r="Q415" s="16"/>
      <c r="R415" s="16">
        <f t="shared" si="125"/>
        <v>0</v>
      </c>
      <c r="S415" s="67">
        <f t="shared" si="126"/>
        <v>0</v>
      </c>
    </row>
    <row r="416" spans="1:19" s="24" customFormat="1" ht="8.25">
      <c r="A416" s="74" t="s">
        <v>649</v>
      </c>
      <c r="B416" s="75"/>
      <c r="C416" s="78" t="s">
        <v>412</v>
      </c>
      <c r="D416" s="79"/>
      <c r="E416" s="79"/>
      <c r="F416" s="79"/>
      <c r="G416" s="80"/>
      <c r="H416" s="21" t="s">
        <v>23</v>
      </c>
      <c r="I416" s="58"/>
      <c r="J416" s="12"/>
      <c r="K416" s="12"/>
      <c r="L416" s="12"/>
      <c r="M416" s="12"/>
      <c r="N416" s="16"/>
      <c r="O416" s="16"/>
      <c r="P416" s="16"/>
      <c r="Q416" s="16"/>
      <c r="R416" s="16">
        <f t="shared" si="125"/>
        <v>0</v>
      </c>
      <c r="S416" s="67">
        <f t="shared" si="126"/>
        <v>0</v>
      </c>
    </row>
    <row r="417" spans="1:19" s="24" customFormat="1" ht="8.25">
      <c r="A417" s="74" t="s">
        <v>650</v>
      </c>
      <c r="B417" s="75"/>
      <c r="C417" s="78" t="s">
        <v>415</v>
      </c>
      <c r="D417" s="79"/>
      <c r="E417" s="79"/>
      <c r="F417" s="79"/>
      <c r="G417" s="80"/>
      <c r="H417" s="21" t="s">
        <v>23</v>
      </c>
      <c r="I417" s="58"/>
      <c r="J417" s="12"/>
      <c r="K417" s="12"/>
      <c r="L417" s="12"/>
      <c r="M417" s="12"/>
      <c r="N417" s="16"/>
      <c r="O417" s="16"/>
      <c r="P417" s="16"/>
      <c r="Q417" s="16"/>
      <c r="R417" s="16">
        <f t="shared" si="125"/>
        <v>0</v>
      </c>
      <c r="S417" s="67">
        <f t="shared" si="126"/>
        <v>0</v>
      </c>
    </row>
    <row r="418" spans="1:19" s="24" customFormat="1" ht="8.25">
      <c r="A418" s="74" t="s">
        <v>651</v>
      </c>
      <c r="B418" s="75"/>
      <c r="C418" s="78" t="s">
        <v>421</v>
      </c>
      <c r="D418" s="79"/>
      <c r="E418" s="79"/>
      <c r="F418" s="79"/>
      <c r="G418" s="80"/>
      <c r="H418" s="21" t="s">
        <v>23</v>
      </c>
      <c r="I418" s="68">
        <v>0</v>
      </c>
      <c r="J418" s="16">
        <v>0</v>
      </c>
      <c r="K418" s="16">
        <v>0</v>
      </c>
      <c r="L418" s="16">
        <v>0</v>
      </c>
      <c r="M418" s="16"/>
      <c r="N418" s="16">
        <v>12.524000937724747</v>
      </c>
      <c r="O418" s="16"/>
      <c r="P418" s="16">
        <v>1.5063790622752544</v>
      </c>
      <c r="Q418" s="16"/>
      <c r="R418" s="16">
        <f t="shared" si="125"/>
        <v>14.030380000000001</v>
      </c>
      <c r="S418" s="67">
        <f t="shared" si="126"/>
        <v>0</v>
      </c>
    </row>
    <row r="419" spans="1:19" s="24" customFormat="1" ht="8.25">
      <c r="A419" s="74" t="s">
        <v>652</v>
      </c>
      <c r="B419" s="75"/>
      <c r="C419" s="78" t="s">
        <v>423</v>
      </c>
      <c r="D419" s="79"/>
      <c r="E419" s="79"/>
      <c r="F419" s="79"/>
      <c r="G419" s="80"/>
      <c r="H419" s="21" t="s">
        <v>23</v>
      </c>
      <c r="I419" s="58"/>
      <c r="J419" s="12"/>
      <c r="K419" s="12"/>
      <c r="L419" s="12"/>
      <c r="M419" s="12"/>
      <c r="N419" s="12"/>
      <c r="O419" s="12"/>
      <c r="P419" s="12"/>
      <c r="Q419" s="12"/>
      <c r="R419" s="12">
        <f t="shared" si="125"/>
        <v>0</v>
      </c>
      <c r="S419" s="21">
        <f t="shared" si="126"/>
        <v>0</v>
      </c>
    </row>
    <row r="420" spans="1:19" s="24" customFormat="1" ht="16.5" customHeight="1">
      <c r="A420" s="74" t="s">
        <v>653</v>
      </c>
      <c r="B420" s="75"/>
      <c r="C420" s="78" t="s">
        <v>638</v>
      </c>
      <c r="D420" s="79"/>
      <c r="E420" s="79"/>
      <c r="F420" s="79"/>
      <c r="G420" s="80"/>
      <c r="H420" s="21" t="s">
        <v>23</v>
      </c>
      <c r="I420" s="58">
        <f t="shared" ref="I420:Q420" si="138">I421+I422</f>
        <v>0</v>
      </c>
      <c r="J420" s="12">
        <f t="shared" si="138"/>
        <v>0</v>
      </c>
      <c r="K420" s="12">
        <f t="shared" si="138"/>
        <v>0</v>
      </c>
      <c r="L420" s="12">
        <f t="shared" si="138"/>
        <v>0</v>
      </c>
      <c r="M420" s="12">
        <f t="shared" si="138"/>
        <v>0</v>
      </c>
      <c r="N420" s="12">
        <f t="shared" si="138"/>
        <v>0</v>
      </c>
      <c r="O420" s="12">
        <f t="shared" si="138"/>
        <v>0</v>
      </c>
      <c r="P420" s="12">
        <f t="shared" si="138"/>
        <v>0</v>
      </c>
      <c r="Q420" s="12">
        <f t="shared" si="138"/>
        <v>0</v>
      </c>
      <c r="R420" s="12">
        <f t="shared" si="125"/>
        <v>0</v>
      </c>
      <c r="S420" s="21">
        <f t="shared" si="126"/>
        <v>0</v>
      </c>
    </row>
    <row r="421" spans="1:19" s="24" customFormat="1" ht="8.25">
      <c r="A421" s="74" t="s">
        <v>654</v>
      </c>
      <c r="B421" s="75"/>
      <c r="C421" s="81" t="s">
        <v>47</v>
      </c>
      <c r="D421" s="82"/>
      <c r="E421" s="82"/>
      <c r="F421" s="82"/>
      <c r="G421" s="83"/>
      <c r="H421" s="21" t="s">
        <v>23</v>
      </c>
      <c r="I421" s="58"/>
      <c r="J421" s="12"/>
      <c r="K421" s="12"/>
      <c r="L421" s="12"/>
      <c r="M421" s="12"/>
      <c r="N421" s="12"/>
      <c r="O421" s="12"/>
      <c r="P421" s="12"/>
      <c r="Q421" s="12"/>
      <c r="R421" s="12">
        <f t="shared" si="125"/>
        <v>0</v>
      </c>
      <c r="S421" s="21">
        <f t="shared" si="126"/>
        <v>0</v>
      </c>
    </row>
    <row r="422" spans="1:19" s="24" customFormat="1" ht="8.25">
      <c r="A422" s="74" t="s">
        <v>655</v>
      </c>
      <c r="B422" s="75"/>
      <c r="C422" s="81" t="s">
        <v>49</v>
      </c>
      <c r="D422" s="82"/>
      <c r="E422" s="82"/>
      <c r="F422" s="82"/>
      <c r="G422" s="83"/>
      <c r="H422" s="21" t="s">
        <v>23</v>
      </c>
      <c r="I422" s="58"/>
      <c r="J422" s="12"/>
      <c r="K422" s="12"/>
      <c r="L422" s="12"/>
      <c r="M422" s="12"/>
      <c r="N422" s="12"/>
      <c r="O422" s="12"/>
      <c r="P422" s="12"/>
      <c r="Q422" s="12"/>
      <c r="R422" s="12">
        <f t="shared" si="125"/>
        <v>0</v>
      </c>
      <c r="S422" s="21">
        <f t="shared" si="126"/>
        <v>0</v>
      </c>
    </row>
    <row r="423" spans="1:19" s="24" customFormat="1" ht="8.25">
      <c r="A423" s="74" t="s">
        <v>34</v>
      </c>
      <c r="B423" s="75"/>
      <c r="C423" s="90" t="s">
        <v>656</v>
      </c>
      <c r="D423" s="91"/>
      <c r="E423" s="91"/>
      <c r="F423" s="91"/>
      <c r="G423" s="92"/>
      <c r="H423" s="21" t="s">
        <v>23</v>
      </c>
      <c r="I423" s="58"/>
      <c r="J423" s="12"/>
      <c r="K423" s="12"/>
      <c r="L423" s="12"/>
      <c r="M423" s="12"/>
      <c r="N423" s="12"/>
      <c r="O423" s="12"/>
      <c r="P423" s="12"/>
      <c r="Q423" s="12"/>
      <c r="R423" s="12">
        <f t="shared" si="125"/>
        <v>0</v>
      </c>
      <c r="S423" s="21">
        <f t="shared" si="126"/>
        <v>0</v>
      </c>
    </row>
    <row r="424" spans="1:19" s="24" customFormat="1" ht="8.25">
      <c r="A424" s="74" t="s">
        <v>36</v>
      </c>
      <c r="B424" s="75"/>
      <c r="C424" s="90" t="s">
        <v>657</v>
      </c>
      <c r="D424" s="91"/>
      <c r="E424" s="91"/>
      <c r="F424" s="91"/>
      <c r="G424" s="92"/>
      <c r="H424" s="21" t="s">
        <v>23</v>
      </c>
      <c r="I424" s="58">
        <f t="shared" ref="I424:Q424" si="139">I425+I426</f>
        <v>0</v>
      </c>
      <c r="J424" s="12">
        <f t="shared" si="139"/>
        <v>0</v>
      </c>
      <c r="K424" s="12">
        <f t="shared" si="139"/>
        <v>0</v>
      </c>
      <c r="L424" s="12">
        <f t="shared" si="139"/>
        <v>0</v>
      </c>
      <c r="M424" s="12">
        <f t="shared" si="139"/>
        <v>0</v>
      </c>
      <c r="N424" s="12">
        <f t="shared" si="139"/>
        <v>0</v>
      </c>
      <c r="O424" s="12">
        <f t="shared" si="139"/>
        <v>0</v>
      </c>
      <c r="P424" s="12">
        <f t="shared" si="139"/>
        <v>0</v>
      </c>
      <c r="Q424" s="12">
        <f t="shared" si="139"/>
        <v>0</v>
      </c>
      <c r="R424" s="12">
        <f t="shared" si="125"/>
        <v>0</v>
      </c>
      <c r="S424" s="21">
        <f t="shared" si="126"/>
        <v>0</v>
      </c>
    </row>
    <row r="425" spans="1:19" s="24" customFormat="1" ht="8.25">
      <c r="A425" s="74" t="s">
        <v>658</v>
      </c>
      <c r="B425" s="75"/>
      <c r="C425" s="87" t="s">
        <v>659</v>
      </c>
      <c r="D425" s="88"/>
      <c r="E425" s="88"/>
      <c r="F425" s="88"/>
      <c r="G425" s="89"/>
      <c r="H425" s="21" t="s">
        <v>23</v>
      </c>
      <c r="I425" s="58"/>
      <c r="J425" s="12"/>
      <c r="K425" s="12"/>
      <c r="L425" s="12"/>
      <c r="M425" s="12"/>
      <c r="N425" s="12"/>
      <c r="O425" s="12"/>
      <c r="P425" s="12"/>
      <c r="Q425" s="12"/>
      <c r="R425" s="12">
        <f t="shared" si="125"/>
        <v>0</v>
      </c>
      <c r="S425" s="21">
        <f t="shared" si="126"/>
        <v>0</v>
      </c>
    </row>
    <row r="426" spans="1:19" s="24" customFormat="1" ht="8.25">
      <c r="A426" s="74" t="s">
        <v>660</v>
      </c>
      <c r="B426" s="75"/>
      <c r="C426" s="87" t="s">
        <v>661</v>
      </c>
      <c r="D426" s="88"/>
      <c r="E426" s="88"/>
      <c r="F426" s="88"/>
      <c r="G426" s="89"/>
      <c r="H426" s="21" t="s">
        <v>23</v>
      </c>
      <c r="I426" s="58"/>
      <c r="J426" s="12"/>
      <c r="K426" s="12"/>
      <c r="L426" s="12"/>
      <c r="M426" s="12"/>
      <c r="N426" s="12"/>
      <c r="O426" s="12"/>
      <c r="P426" s="12"/>
      <c r="Q426" s="12"/>
      <c r="R426" s="12">
        <f t="shared" si="125"/>
        <v>0</v>
      </c>
      <c r="S426" s="21">
        <f t="shared" si="126"/>
        <v>0</v>
      </c>
    </row>
    <row r="427" spans="1:19" s="24" customFormat="1" ht="9" customHeight="1">
      <c r="A427" s="74" t="s">
        <v>52</v>
      </c>
      <c r="B427" s="75"/>
      <c r="C427" s="93" t="s">
        <v>662</v>
      </c>
      <c r="D427" s="94"/>
      <c r="E427" s="94"/>
      <c r="F427" s="94"/>
      <c r="G427" s="95"/>
      <c r="H427" s="21" t="s">
        <v>23</v>
      </c>
      <c r="I427" s="58">
        <f t="shared" ref="I427:Q427" si="140">I428+I429+I430+I431+I432+I437+I438</f>
        <v>0</v>
      </c>
      <c r="J427" s="12">
        <f t="shared" si="140"/>
        <v>0</v>
      </c>
      <c r="K427" s="12">
        <f t="shared" si="140"/>
        <v>0</v>
      </c>
      <c r="L427" s="12">
        <f t="shared" si="140"/>
        <v>0</v>
      </c>
      <c r="M427" s="12">
        <f t="shared" si="140"/>
        <v>0</v>
      </c>
      <c r="N427" s="12">
        <f t="shared" si="140"/>
        <v>0</v>
      </c>
      <c r="O427" s="12">
        <f t="shared" si="140"/>
        <v>0</v>
      </c>
      <c r="P427" s="12">
        <f t="shared" si="140"/>
        <v>0</v>
      </c>
      <c r="Q427" s="12">
        <f t="shared" si="140"/>
        <v>0</v>
      </c>
      <c r="R427" s="12">
        <f t="shared" si="125"/>
        <v>0</v>
      </c>
      <c r="S427" s="21">
        <f t="shared" si="126"/>
        <v>0</v>
      </c>
    </row>
    <row r="428" spans="1:19" s="24" customFormat="1" ht="8.25">
      <c r="A428" s="74" t="s">
        <v>54</v>
      </c>
      <c r="B428" s="75"/>
      <c r="C428" s="90" t="s">
        <v>663</v>
      </c>
      <c r="D428" s="91"/>
      <c r="E428" s="91"/>
      <c r="F428" s="91"/>
      <c r="G428" s="92"/>
      <c r="H428" s="21" t="s">
        <v>23</v>
      </c>
      <c r="I428" s="58"/>
      <c r="J428" s="12"/>
      <c r="K428" s="12"/>
      <c r="L428" s="12"/>
      <c r="M428" s="12"/>
      <c r="N428" s="12"/>
      <c r="O428" s="12"/>
      <c r="P428" s="12"/>
      <c r="Q428" s="12"/>
      <c r="R428" s="12">
        <f t="shared" si="125"/>
        <v>0</v>
      </c>
      <c r="S428" s="21">
        <f t="shared" si="126"/>
        <v>0</v>
      </c>
    </row>
    <row r="429" spans="1:19" s="24" customFormat="1" ht="8.25">
      <c r="A429" s="74" t="s">
        <v>58</v>
      </c>
      <c r="B429" s="75"/>
      <c r="C429" s="90" t="s">
        <v>664</v>
      </c>
      <c r="D429" s="91"/>
      <c r="E429" s="91"/>
      <c r="F429" s="91"/>
      <c r="G429" s="92"/>
      <c r="H429" s="21" t="s">
        <v>23</v>
      </c>
      <c r="I429" s="58"/>
      <c r="J429" s="12"/>
      <c r="K429" s="12"/>
      <c r="L429" s="12"/>
      <c r="M429" s="12"/>
      <c r="N429" s="12"/>
      <c r="O429" s="12"/>
      <c r="P429" s="12"/>
      <c r="Q429" s="12"/>
      <c r="R429" s="12">
        <f t="shared" si="125"/>
        <v>0</v>
      </c>
      <c r="S429" s="21">
        <f t="shared" si="126"/>
        <v>0</v>
      </c>
    </row>
    <row r="430" spans="1:19" s="24" customFormat="1" ht="8.25">
      <c r="A430" s="74" t="s">
        <v>59</v>
      </c>
      <c r="B430" s="75"/>
      <c r="C430" s="90" t="s">
        <v>665</v>
      </c>
      <c r="D430" s="91"/>
      <c r="E430" s="91"/>
      <c r="F430" s="91"/>
      <c r="G430" s="92"/>
      <c r="H430" s="21" t="s">
        <v>23</v>
      </c>
      <c r="I430" s="58"/>
      <c r="J430" s="12"/>
      <c r="K430" s="12"/>
      <c r="L430" s="12"/>
      <c r="M430" s="12"/>
      <c r="N430" s="12"/>
      <c r="O430" s="12"/>
      <c r="P430" s="12"/>
      <c r="Q430" s="12"/>
      <c r="R430" s="12">
        <f t="shared" si="125"/>
        <v>0</v>
      </c>
      <c r="S430" s="21">
        <f t="shared" si="126"/>
        <v>0</v>
      </c>
    </row>
    <row r="431" spans="1:19" s="24" customFormat="1" ht="8.25">
      <c r="A431" s="74" t="s">
        <v>60</v>
      </c>
      <c r="B431" s="75"/>
      <c r="C431" s="90" t="s">
        <v>666</v>
      </c>
      <c r="D431" s="91"/>
      <c r="E431" s="91"/>
      <c r="F431" s="91"/>
      <c r="G431" s="92"/>
      <c r="H431" s="21" t="s">
        <v>23</v>
      </c>
      <c r="I431" s="58"/>
      <c r="J431" s="12"/>
      <c r="K431" s="12"/>
      <c r="L431" s="12"/>
      <c r="M431" s="12"/>
      <c r="N431" s="12"/>
      <c r="O431" s="12"/>
      <c r="P431" s="12"/>
      <c r="Q431" s="12"/>
      <c r="R431" s="12">
        <f t="shared" si="125"/>
        <v>0</v>
      </c>
      <c r="S431" s="21">
        <f t="shared" si="126"/>
        <v>0</v>
      </c>
    </row>
    <row r="432" spans="1:19" s="24" customFormat="1" ht="8.25">
      <c r="A432" s="74" t="s">
        <v>61</v>
      </c>
      <c r="B432" s="75"/>
      <c r="C432" s="90" t="s">
        <v>667</v>
      </c>
      <c r="D432" s="91"/>
      <c r="E432" s="91"/>
      <c r="F432" s="91"/>
      <c r="G432" s="92"/>
      <c r="H432" s="21" t="s">
        <v>23</v>
      </c>
      <c r="I432" s="58">
        <f t="shared" ref="I432:Q432" si="141">I433+I435</f>
        <v>0</v>
      </c>
      <c r="J432" s="12">
        <f t="shared" si="141"/>
        <v>0</v>
      </c>
      <c r="K432" s="12">
        <f t="shared" si="141"/>
        <v>0</v>
      </c>
      <c r="L432" s="12">
        <f t="shared" si="141"/>
        <v>0</v>
      </c>
      <c r="M432" s="12">
        <f t="shared" si="141"/>
        <v>0</v>
      </c>
      <c r="N432" s="12">
        <f t="shared" si="141"/>
        <v>0</v>
      </c>
      <c r="O432" s="12">
        <f t="shared" si="141"/>
        <v>0</v>
      </c>
      <c r="P432" s="12">
        <f t="shared" si="141"/>
        <v>0</v>
      </c>
      <c r="Q432" s="12">
        <f t="shared" si="141"/>
        <v>0</v>
      </c>
      <c r="R432" s="12">
        <f t="shared" si="125"/>
        <v>0</v>
      </c>
      <c r="S432" s="21">
        <f t="shared" si="126"/>
        <v>0</v>
      </c>
    </row>
    <row r="433" spans="1:19" s="24" customFormat="1" ht="8.25">
      <c r="A433" s="74" t="s">
        <v>101</v>
      </c>
      <c r="B433" s="75"/>
      <c r="C433" s="87" t="s">
        <v>309</v>
      </c>
      <c r="D433" s="88"/>
      <c r="E433" s="88"/>
      <c r="F433" s="88"/>
      <c r="G433" s="89"/>
      <c r="H433" s="21" t="s">
        <v>23</v>
      </c>
      <c r="I433" s="58"/>
      <c r="J433" s="12"/>
      <c r="K433" s="12"/>
      <c r="L433" s="12"/>
      <c r="M433" s="12"/>
      <c r="N433" s="12"/>
      <c r="O433" s="12"/>
      <c r="P433" s="12"/>
      <c r="Q433" s="12"/>
      <c r="R433" s="12">
        <f t="shared" si="125"/>
        <v>0</v>
      </c>
      <c r="S433" s="21">
        <f t="shared" ref="S433:S447" si="142">M433+O433+Q433</f>
        <v>0</v>
      </c>
    </row>
    <row r="434" spans="1:19" s="24" customFormat="1" ht="16.5" customHeight="1">
      <c r="A434" s="74" t="s">
        <v>668</v>
      </c>
      <c r="B434" s="75"/>
      <c r="C434" s="78" t="s">
        <v>669</v>
      </c>
      <c r="D434" s="79"/>
      <c r="E434" s="79"/>
      <c r="F434" s="79"/>
      <c r="G434" s="80"/>
      <c r="H434" s="21" t="s">
        <v>23</v>
      </c>
      <c r="I434" s="58"/>
      <c r="J434" s="12"/>
      <c r="K434" s="12"/>
      <c r="L434" s="12"/>
      <c r="M434" s="12"/>
      <c r="N434" s="12"/>
      <c r="O434" s="12"/>
      <c r="P434" s="12"/>
      <c r="Q434" s="12"/>
      <c r="R434" s="12">
        <f t="shared" si="125"/>
        <v>0</v>
      </c>
      <c r="S434" s="21">
        <f t="shared" si="142"/>
        <v>0</v>
      </c>
    </row>
    <row r="435" spans="1:19" s="24" customFormat="1" ht="8.25">
      <c r="A435" s="74" t="s">
        <v>103</v>
      </c>
      <c r="B435" s="75"/>
      <c r="C435" s="87" t="s">
        <v>311</v>
      </c>
      <c r="D435" s="88"/>
      <c r="E435" s="88"/>
      <c r="F435" s="88"/>
      <c r="G435" s="89"/>
      <c r="H435" s="21" t="s">
        <v>23</v>
      </c>
      <c r="I435" s="58"/>
      <c r="J435" s="12"/>
      <c r="K435" s="12"/>
      <c r="L435" s="12"/>
      <c r="M435" s="12"/>
      <c r="N435" s="12"/>
      <c r="O435" s="12"/>
      <c r="P435" s="12"/>
      <c r="Q435" s="12"/>
      <c r="R435" s="12">
        <f t="shared" si="125"/>
        <v>0</v>
      </c>
      <c r="S435" s="21">
        <f t="shared" si="142"/>
        <v>0</v>
      </c>
    </row>
    <row r="436" spans="1:19" s="24" customFormat="1" ht="16.5" customHeight="1">
      <c r="A436" s="74" t="s">
        <v>670</v>
      </c>
      <c r="B436" s="75"/>
      <c r="C436" s="78" t="s">
        <v>671</v>
      </c>
      <c r="D436" s="79"/>
      <c r="E436" s="79"/>
      <c r="F436" s="79"/>
      <c r="G436" s="80"/>
      <c r="H436" s="21" t="s">
        <v>23</v>
      </c>
      <c r="I436" s="58"/>
      <c r="J436" s="12"/>
      <c r="K436" s="12"/>
      <c r="L436" s="12"/>
      <c r="M436" s="12"/>
      <c r="N436" s="12"/>
      <c r="O436" s="12"/>
      <c r="P436" s="12"/>
      <c r="Q436" s="12"/>
      <c r="R436" s="12">
        <f t="shared" si="125"/>
        <v>0</v>
      </c>
      <c r="S436" s="21">
        <f t="shared" si="142"/>
        <v>0</v>
      </c>
    </row>
    <row r="437" spans="1:19" s="24" customFormat="1" ht="8.25">
      <c r="A437" s="74" t="s">
        <v>62</v>
      </c>
      <c r="B437" s="75"/>
      <c r="C437" s="90" t="s">
        <v>672</v>
      </c>
      <c r="D437" s="91"/>
      <c r="E437" s="91"/>
      <c r="F437" s="91"/>
      <c r="G437" s="92"/>
      <c r="H437" s="21" t="s">
        <v>23</v>
      </c>
      <c r="I437" s="58"/>
      <c r="J437" s="12"/>
      <c r="K437" s="12"/>
      <c r="L437" s="12"/>
      <c r="M437" s="12"/>
      <c r="N437" s="12"/>
      <c r="O437" s="12"/>
      <c r="P437" s="12"/>
      <c r="Q437" s="12"/>
      <c r="R437" s="12">
        <f t="shared" si="125"/>
        <v>0</v>
      </c>
      <c r="S437" s="21">
        <f t="shared" si="142"/>
        <v>0</v>
      </c>
    </row>
    <row r="438" spans="1:19" s="24" customFormat="1" ht="9" customHeight="1" thickBot="1">
      <c r="A438" s="96" t="s">
        <v>63</v>
      </c>
      <c r="B438" s="97"/>
      <c r="C438" s="101" t="s">
        <v>673</v>
      </c>
      <c r="D438" s="102"/>
      <c r="E438" s="102"/>
      <c r="F438" s="102"/>
      <c r="G438" s="103"/>
      <c r="H438" s="51" t="s">
        <v>23</v>
      </c>
      <c r="I438" s="69"/>
      <c r="J438" s="17"/>
      <c r="K438" s="17"/>
      <c r="L438" s="17"/>
      <c r="M438" s="17"/>
      <c r="N438" s="17"/>
      <c r="O438" s="17"/>
      <c r="P438" s="17"/>
      <c r="Q438" s="17"/>
      <c r="R438" s="17">
        <f t="shared" si="125"/>
        <v>0</v>
      </c>
      <c r="S438" s="51">
        <f t="shared" si="142"/>
        <v>0</v>
      </c>
    </row>
    <row r="439" spans="1:19" s="24" customFormat="1" ht="9.75" customHeight="1">
      <c r="A439" s="107" t="s">
        <v>121</v>
      </c>
      <c r="B439" s="108"/>
      <c r="C439" s="104" t="s">
        <v>114</v>
      </c>
      <c r="D439" s="105"/>
      <c r="E439" s="105"/>
      <c r="F439" s="105"/>
      <c r="G439" s="106"/>
      <c r="H439" s="54" t="s">
        <v>228</v>
      </c>
      <c r="I439" s="70"/>
      <c r="J439" s="18"/>
      <c r="K439" s="18"/>
      <c r="L439" s="18"/>
      <c r="M439" s="18"/>
      <c r="N439" s="18"/>
      <c r="O439" s="18"/>
      <c r="P439" s="18"/>
      <c r="Q439" s="18"/>
      <c r="R439" s="18">
        <f t="shared" si="125"/>
        <v>0</v>
      </c>
      <c r="S439" s="54">
        <f t="shared" si="142"/>
        <v>0</v>
      </c>
    </row>
    <row r="440" spans="1:19" s="24" customFormat="1" ht="24.75" customHeight="1">
      <c r="A440" s="74" t="s">
        <v>123</v>
      </c>
      <c r="B440" s="75"/>
      <c r="C440" s="90" t="s">
        <v>674</v>
      </c>
      <c r="D440" s="91"/>
      <c r="E440" s="91"/>
      <c r="F440" s="91"/>
      <c r="G440" s="92"/>
      <c r="H440" s="21" t="s">
        <v>23</v>
      </c>
      <c r="I440" s="58">
        <f t="shared" ref="I440:Q440" si="143">I441+I442+I443</f>
        <v>0</v>
      </c>
      <c r="J440" s="12">
        <f t="shared" si="143"/>
        <v>0</v>
      </c>
      <c r="K440" s="12">
        <f t="shared" si="143"/>
        <v>0</v>
      </c>
      <c r="L440" s="12">
        <f t="shared" si="143"/>
        <v>0</v>
      </c>
      <c r="M440" s="12">
        <f t="shared" si="143"/>
        <v>0</v>
      </c>
      <c r="N440" s="12">
        <f t="shared" si="143"/>
        <v>0</v>
      </c>
      <c r="O440" s="12">
        <f t="shared" si="143"/>
        <v>0</v>
      </c>
      <c r="P440" s="12">
        <f t="shared" si="143"/>
        <v>0</v>
      </c>
      <c r="Q440" s="12">
        <f t="shared" si="143"/>
        <v>0</v>
      </c>
      <c r="R440" s="12">
        <f t="shared" si="125"/>
        <v>0</v>
      </c>
      <c r="S440" s="21">
        <f t="shared" si="142"/>
        <v>0</v>
      </c>
    </row>
    <row r="441" spans="1:19" s="24" customFormat="1" ht="8.25">
      <c r="A441" s="74" t="s">
        <v>124</v>
      </c>
      <c r="B441" s="75"/>
      <c r="C441" s="87" t="s">
        <v>675</v>
      </c>
      <c r="D441" s="88"/>
      <c r="E441" s="88"/>
      <c r="F441" s="88"/>
      <c r="G441" s="89"/>
      <c r="H441" s="21" t="s">
        <v>23</v>
      </c>
      <c r="I441" s="58"/>
      <c r="J441" s="12"/>
      <c r="K441" s="12"/>
      <c r="L441" s="12"/>
      <c r="M441" s="12"/>
      <c r="N441" s="12"/>
      <c r="O441" s="12"/>
      <c r="P441" s="12"/>
      <c r="Q441" s="12"/>
      <c r="R441" s="12">
        <f t="shared" si="125"/>
        <v>0</v>
      </c>
      <c r="S441" s="21">
        <f t="shared" si="142"/>
        <v>0</v>
      </c>
    </row>
    <row r="442" spans="1:19" s="24" customFormat="1" ht="16.5" customHeight="1">
      <c r="A442" s="74" t="s">
        <v>125</v>
      </c>
      <c r="B442" s="75"/>
      <c r="C442" s="87" t="s">
        <v>676</v>
      </c>
      <c r="D442" s="88"/>
      <c r="E442" s="88"/>
      <c r="F442" s="88"/>
      <c r="G442" s="89"/>
      <c r="H442" s="21" t="s">
        <v>23</v>
      </c>
      <c r="I442" s="58"/>
      <c r="J442" s="12"/>
      <c r="K442" s="12"/>
      <c r="L442" s="12"/>
      <c r="M442" s="12"/>
      <c r="N442" s="12"/>
      <c r="O442" s="12"/>
      <c r="P442" s="12"/>
      <c r="Q442" s="12"/>
      <c r="R442" s="12">
        <f t="shared" si="125"/>
        <v>0</v>
      </c>
      <c r="S442" s="21">
        <f t="shared" si="142"/>
        <v>0</v>
      </c>
    </row>
    <row r="443" spans="1:19" s="24" customFormat="1" ht="8.25">
      <c r="A443" s="74" t="s">
        <v>126</v>
      </c>
      <c r="B443" s="75"/>
      <c r="C443" s="87" t="s">
        <v>677</v>
      </c>
      <c r="D443" s="88"/>
      <c r="E443" s="88"/>
      <c r="F443" s="88"/>
      <c r="G443" s="89"/>
      <c r="H443" s="21" t="s">
        <v>23</v>
      </c>
      <c r="I443" s="58"/>
      <c r="J443" s="12"/>
      <c r="K443" s="12"/>
      <c r="L443" s="12"/>
      <c r="M443" s="12"/>
      <c r="N443" s="12"/>
      <c r="O443" s="12"/>
      <c r="P443" s="12"/>
      <c r="Q443" s="12"/>
      <c r="R443" s="12">
        <f t="shared" si="125"/>
        <v>0</v>
      </c>
      <c r="S443" s="21">
        <f t="shared" si="142"/>
        <v>0</v>
      </c>
    </row>
    <row r="444" spans="1:19" s="24" customFormat="1" ht="17.25" customHeight="1">
      <c r="A444" s="74" t="s">
        <v>127</v>
      </c>
      <c r="B444" s="75"/>
      <c r="C444" s="90" t="s">
        <v>678</v>
      </c>
      <c r="D444" s="91"/>
      <c r="E444" s="91"/>
      <c r="F444" s="91"/>
      <c r="G444" s="92"/>
      <c r="H444" s="21" t="s">
        <v>228</v>
      </c>
      <c r="I444" s="58"/>
      <c r="J444" s="12"/>
      <c r="K444" s="12"/>
      <c r="L444" s="12"/>
      <c r="M444" s="12"/>
      <c r="N444" s="12"/>
      <c r="O444" s="12"/>
      <c r="P444" s="12"/>
      <c r="Q444" s="12"/>
      <c r="R444" s="12">
        <f t="shared" si="125"/>
        <v>0</v>
      </c>
      <c r="S444" s="21">
        <f t="shared" si="142"/>
        <v>0</v>
      </c>
    </row>
    <row r="445" spans="1:19" s="24" customFormat="1" ht="8.25">
      <c r="A445" s="74" t="s">
        <v>679</v>
      </c>
      <c r="B445" s="75"/>
      <c r="C445" s="87" t="s">
        <v>680</v>
      </c>
      <c r="D445" s="88"/>
      <c r="E445" s="88"/>
      <c r="F445" s="88"/>
      <c r="G445" s="89"/>
      <c r="H445" s="21" t="s">
        <v>23</v>
      </c>
      <c r="I445" s="58"/>
      <c r="J445" s="12"/>
      <c r="K445" s="12"/>
      <c r="L445" s="12"/>
      <c r="M445" s="12"/>
      <c r="N445" s="12"/>
      <c r="O445" s="12"/>
      <c r="P445" s="12"/>
      <c r="Q445" s="12"/>
      <c r="R445" s="12">
        <f t="shared" si="125"/>
        <v>0</v>
      </c>
      <c r="S445" s="21">
        <f t="shared" si="142"/>
        <v>0</v>
      </c>
    </row>
    <row r="446" spans="1:19" s="24" customFormat="1" ht="8.25">
      <c r="A446" s="74" t="s">
        <v>681</v>
      </c>
      <c r="B446" s="75"/>
      <c r="C446" s="87" t="s">
        <v>682</v>
      </c>
      <c r="D446" s="88"/>
      <c r="E446" s="88"/>
      <c r="F446" s="88"/>
      <c r="G446" s="89"/>
      <c r="H446" s="21" t="s">
        <v>23</v>
      </c>
      <c r="I446" s="58"/>
      <c r="J446" s="12"/>
      <c r="K446" s="12"/>
      <c r="L446" s="12"/>
      <c r="M446" s="12"/>
      <c r="N446" s="12"/>
      <c r="O446" s="12"/>
      <c r="P446" s="12"/>
      <c r="Q446" s="12"/>
      <c r="R446" s="12">
        <f t="shared" si="125"/>
        <v>0</v>
      </c>
      <c r="S446" s="21">
        <f t="shared" si="142"/>
        <v>0</v>
      </c>
    </row>
    <row r="447" spans="1:19" s="24" customFormat="1" ht="9" customHeight="1" thickBot="1">
      <c r="A447" s="96" t="s">
        <v>683</v>
      </c>
      <c r="B447" s="97"/>
      <c r="C447" s="98" t="s">
        <v>684</v>
      </c>
      <c r="D447" s="99"/>
      <c r="E447" s="99"/>
      <c r="F447" s="99"/>
      <c r="G447" s="100"/>
      <c r="H447" s="71" t="s">
        <v>23</v>
      </c>
      <c r="I447" s="69"/>
      <c r="J447" s="17"/>
      <c r="K447" s="17"/>
      <c r="L447" s="17"/>
      <c r="M447" s="17"/>
      <c r="N447" s="17"/>
      <c r="O447" s="17"/>
      <c r="P447" s="17"/>
      <c r="Q447" s="17"/>
      <c r="R447" s="17">
        <f t="shared" si="125"/>
        <v>0</v>
      </c>
      <c r="S447" s="51">
        <f t="shared" si="142"/>
        <v>0</v>
      </c>
    </row>
    <row r="448" spans="1:19" s="19" customFormat="1" ht="12" customHeight="1">
      <c r="A448" s="72"/>
      <c r="B448" s="72"/>
      <c r="C448" s="72"/>
    </row>
    <row r="449" spans="1:1" s="20" customFormat="1" ht="8.25">
      <c r="A449" s="73" t="s">
        <v>685</v>
      </c>
    </row>
    <row r="450" spans="1:1" s="20" customFormat="1" ht="9" customHeight="1">
      <c r="A450" s="73" t="s">
        <v>686</v>
      </c>
    </row>
    <row r="451" spans="1:1" s="20" customFormat="1" ht="9" customHeight="1">
      <c r="A451" s="73" t="s">
        <v>687</v>
      </c>
    </row>
    <row r="452" spans="1:1" s="20" customFormat="1" ht="9" customHeight="1">
      <c r="A452" s="73" t="s">
        <v>688</v>
      </c>
    </row>
    <row r="453" spans="1:1" s="20" customFormat="1" ht="9" customHeight="1">
      <c r="A453" s="73" t="s">
        <v>689</v>
      </c>
    </row>
    <row r="454" spans="1:1" s="20" customFormat="1" ht="9" customHeight="1">
      <c r="A454" s="73" t="s">
        <v>690</v>
      </c>
    </row>
    <row r="455" spans="1:1" s="20" customFormat="1" ht="8.25">
      <c r="A455" s="73" t="s">
        <v>691</v>
      </c>
    </row>
    <row r="456" spans="1:1" s="20" customFormat="1" ht="8.25">
      <c r="A456" s="73" t="s">
        <v>692</v>
      </c>
    </row>
    <row r="457" spans="1:1" s="20" customFormat="1" ht="8.25">
      <c r="A457" s="73" t="s">
        <v>693</v>
      </c>
    </row>
    <row r="458" spans="1:1" ht="8.25"/>
    <row r="459" spans="1:1" ht="8.25"/>
    <row r="460" spans="1:1" ht="8.25"/>
    <row r="461" spans="1:1" ht="8.25"/>
    <row r="462" spans="1:1" ht="8.25"/>
    <row r="463" spans="1:1" ht="8.25"/>
    <row r="464" spans="1:1" ht="8.25"/>
    <row r="465" ht="8.25"/>
    <row r="466" ht="8.25"/>
    <row r="467" ht="8.25"/>
    <row r="468" ht="8.25"/>
    <row r="469" ht="8.25"/>
    <row r="470" ht="8.25"/>
    <row r="471" ht="8.25"/>
    <row r="472" ht="8.25"/>
    <row r="473" ht="8.25"/>
    <row r="474" ht="8.25"/>
    <row r="475" ht="8.25"/>
    <row r="476" ht="8.25"/>
    <row r="477" ht="8.25"/>
    <row r="478" ht="8.25"/>
    <row r="479" ht="8.25"/>
    <row r="480" ht="8.25"/>
    <row r="481" ht="8.25"/>
    <row r="482" ht="8.25"/>
    <row r="483" ht="8.25"/>
    <row r="484" ht="8.25"/>
    <row r="485" ht="8.25"/>
    <row r="486" ht="8.25"/>
    <row r="487" ht="8.25"/>
    <row r="488" ht="8.25"/>
    <row r="489" ht="8.25"/>
    <row r="490" ht="8.25"/>
    <row r="491" ht="8.25"/>
    <row r="492" ht="8.25"/>
    <row r="493" ht="8.25"/>
    <row r="494" ht="8.25"/>
    <row r="495" ht="8.25"/>
    <row r="496" ht="8.25"/>
    <row r="497" ht="8.25"/>
    <row r="498" ht="8.25"/>
    <row r="499" ht="8.25"/>
    <row r="500" ht="8.25"/>
    <row r="501" ht="8.25"/>
    <row r="502" ht="8.25"/>
    <row r="503" ht="8.25"/>
    <row r="504" ht="8.25"/>
    <row r="505" ht="8.25"/>
    <row r="506" ht="8.25"/>
    <row r="507" ht="8.25"/>
    <row r="508" ht="8.25"/>
    <row r="509" ht="8.25"/>
    <row r="510" ht="8.25"/>
    <row r="511" ht="8.25"/>
    <row r="512" ht="8.25"/>
    <row r="513" ht="8.25"/>
    <row r="514" ht="8.25"/>
    <row r="515" ht="8.25"/>
    <row r="516" ht="8.25"/>
    <row r="517" ht="8.25"/>
    <row r="518" ht="8.25"/>
    <row r="519" ht="8.25"/>
    <row r="520" ht="8.25"/>
    <row r="521" ht="8.25"/>
    <row r="522" ht="8.25"/>
    <row r="523" ht="8.25"/>
    <row r="524" ht="8.25"/>
    <row r="525" ht="8.25"/>
    <row r="526" ht="8.25"/>
    <row r="527" ht="8.25"/>
    <row r="528" ht="8.25"/>
    <row r="529" ht="8.25"/>
    <row r="530" ht="8.25"/>
    <row r="531" ht="8.25"/>
    <row r="532" ht="8.25"/>
    <row r="533" ht="8.25"/>
    <row r="534" ht="8.25"/>
    <row r="535" ht="8.25"/>
    <row r="536" ht="8.25"/>
    <row r="537" ht="8.25"/>
    <row r="538" ht="8.25"/>
    <row r="539" ht="8.25"/>
    <row r="540" ht="8.25"/>
    <row r="541" ht="8.25"/>
    <row r="542" ht="8.25"/>
    <row r="543" ht="8.25"/>
    <row r="544" ht="8.25"/>
    <row r="545" ht="8.25"/>
    <row r="546" ht="8.25"/>
    <row r="547" ht="8.25"/>
    <row r="548" ht="8.25"/>
    <row r="549" ht="8.25"/>
    <row r="550" ht="8.25"/>
    <row r="551" ht="8.25"/>
    <row r="552" ht="8.25"/>
    <row r="553" ht="8.25"/>
    <row r="554" ht="8.25"/>
    <row r="555" ht="8.25"/>
    <row r="556" ht="8.25"/>
    <row r="557" ht="8.25"/>
    <row r="558" ht="8.25"/>
    <row r="559" ht="8.25"/>
    <row r="560" ht="8.25"/>
    <row r="561" ht="8.25"/>
    <row r="562" ht="8.25"/>
    <row r="563" ht="8.25"/>
    <row r="564" ht="8.25"/>
    <row r="565" ht="8.25"/>
    <row r="566" ht="8.25"/>
    <row r="567" ht="8.25"/>
    <row r="568" ht="8.25"/>
    <row r="569" ht="8.25"/>
    <row r="570" ht="8.25"/>
    <row r="571" ht="8.25"/>
    <row r="572" ht="8.25"/>
    <row r="573" ht="8.25"/>
    <row r="574" ht="8.25"/>
    <row r="575" ht="8.25"/>
    <row r="576" ht="8.25"/>
    <row r="577" ht="8.25"/>
    <row r="578" ht="8.25"/>
    <row r="579" ht="8.25"/>
    <row r="580" ht="8.25"/>
    <row r="581" ht="8.25"/>
    <row r="582" ht="8.25"/>
    <row r="583" ht="8.25"/>
    <row r="584" ht="8.25"/>
    <row r="585" ht="8.25"/>
    <row r="586" ht="8.25"/>
    <row r="587" ht="8.25"/>
    <row r="588" ht="8.25"/>
    <row r="589" ht="8.25"/>
    <row r="590" ht="8.25"/>
    <row r="591" ht="8.25"/>
    <row r="592" ht="8.25"/>
    <row r="593" ht="8.25"/>
    <row r="594" ht="8.25"/>
    <row r="595" ht="8.25"/>
    <row r="596" ht="8.25"/>
    <row r="597" ht="8.25"/>
    <row r="598" ht="8.25"/>
    <row r="599" ht="8.25"/>
    <row r="600" ht="8.25"/>
    <row r="601" ht="8.25"/>
    <row r="602" ht="8.25"/>
    <row r="603" ht="8.25"/>
    <row r="604" ht="8.25"/>
    <row r="605" ht="8.25"/>
    <row r="606" ht="8.25"/>
    <row r="607" ht="8.25"/>
    <row r="608" ht="8.25"/>
    <row r="609" ht="8.25"/>
    <row r="610" ht="8.25"/>
    <row r="611" ht="8.25"/>
    <row r="612" ht="8.25"/>
    <row r="613" ht="8.25"/>
    <row r="614" ht="8.25"/>
    <row r="615" ht="8.25"/>
    <row r="616" ht="8.25"/>
    <row r="617" ht="8.25"/>
    <row r="618" ht="8.25"/>
    <row r="619" ht="8.25"/>
    <row r="620" ht="8.25"/>
    <row r="621" ht="8.25"/>
    <row r="622" ht="8.25"/>
    <row r="623" ht="8.25"/>
    <row r="624" ht="8.25"/>
    <row r="625" ht="8.25"/>
    <row r="626" ht="8.25"/>
    <row r="627" ht="8.25"/>
    <row r="628" ht="8.25"/>
    <row r="629" ht="8.25"/>
    <row r="630" ht="8.25"/>
    <row r="631" ht="8.25"/>
    <row r="632" ht="8.25"/>
    <row r="633" ht="8.25"/>
    <row r="634" ht="8.25"/>
    <row r="635" ht="8.25"/>
    <row r="636" ht="8.25"/>
    <row r="637" ht="8.25"/>
    <row r="638" ht="8.25"/>
    <row r="639" ht="8.25"/>
    <row r="640" ht="8.25"/>
    <row r="641" ht="8.25"/>
    <row r="642" ht="8.25"/>
    <row r="643" ht="8.25"/>
    <row r="644" ht="8.25"/>
    <row r="645" ht="8.25"/>
    <row r="646" ht="8.25"/>
    <row r="647" ht="8.25"/>
    <row r="648" ht="8.25"/>
    <row r="649" ht="8.25"/>
    <row r="650" ht="8.25"/>
    <row r="651" ht="8.25"/>
    <row r="652" ht="8.25"/>
    <row r="653" ht="8.25"/>
    <row r="654" ht="8.25"/>
    <row r="655" ht="8.25"/>
    <row r="656" ht="8.25"/>
    <row r="657" ht="8.25"/>
    <row r="658" ht="8.25"/>
    <row r="659" ht="8.25"/>
    <row r="660" ht="8.25"/>
    <row r="661" ht="8.25"/>
    <row r="662" ht="8.25"/>
    <row r="663" ht="8.25"/>
    <row r="664" ht="8.25"/>
    <row r="665" ht="8.25"/>
    <row r="666" ht="8.25"/>
    <row r="667" ht="8.25"/>
    <row r="668" ht="8.25"/>
    <row r="669" ht="8.25"/>
    <row r="670" ht="8.25"/>
    <row r="671" ht="8.25"/>
    <row r="672" ht="8.25"/>
    <row r="673" ht="8.25"/>
    <row r="674" ht="8.25"/>
    <row r="675" ht="8.25"/>
    <row r="676" ht="8.25"/>
    <row r="677" ht="8.25"/>
    <row r="678" ht="8.25"/>
    <row r="679" ht="8.25"/>
    <row r="680" ht="8.25"/>
    <row r="681" ht="8.25"/>
    <row r="682" ht="8.25"/>
    <row r="683" ht="8.25"/>
    <row r="684" ht="8.25"/>
    <row r="685" ht="8.25"/>
    <row r="686" ht="8.25"/>
    <row r="687" ht="8.25"/>
    <row r="688" ht="8.25"/>
    <row r="689" ht="8.25"/>
    <row r="690" ht="8.25"/>
    <row r="691" ht="8.25"/>
    <row r="692" ht="8.25"/>
    <row r="693" ht="8.25"/>
    <row r="694" ht="8.25"/>
    <row r="695" ht="8.25"/>
    <row r="696" ht="8.25"/>
    <row r="697" ht="8.25"/>
    <row r="698" ht="8.25"/>
    <row r="699" ht="8.25"/>
    <row r="700" ht="8.25"/>
    <row r="701" ht="8.25"/>
    <row r="702" ht="8.25"/>
    <row r="703" ht="8.25"/>
    <row r="704" ht="8.25"/>
    <row r="705" ht="8.25"/>
    <row r="706" ht="8.25"/>
    <row r="707" ht="8.25"/>
    <row r="708" ht="8.25"/>
    <row r="709" ht="8.25"/>
    <row r="710" ht="8.25"/>
    <row r="711" ht="8.25"/>
    <row r="712" ht="8.25"/>
    <row r="713" ht="8.25"/>
    <row r="714" ht="8.25"/>
    <row r="715" ht="8.25"/>
    <row r="716" ht="8.25"/>
    <row r="717" ht="8.25"/>
    <row r="718" ht="8.25"/>
    <row r="719" ht="8.25"/>
    <row r="720" ht="8.25"/>
    <row r="721" ht="8.25"/>
    <row r="722" ht="8.25"/>
    <row r="723" ht="8.25"/>
    <row r="724" ht="8.25"/>
    <row r="725" ht="8.25"/>
    <row r="726" ht="8.25"/>
    <row r="727" ht="8.25"/>
    <row r="728" ht="8.25"/>
    <row r="729" ht="8.25"/>
    <row r="730" ht="8.25"/>
    <row r="731" ht="8.25"/>
    <row r="732" ht="8.25"/>
    <row r="733" ht="8.25"/>
    <row r="734" ht="8.25"/>
    <row r="735" ht="8.25"/>
    <row r="736" ht="8.25"/>
    <row r="737" ht="8.25"/>
    <row r="738" ht="8.25"/>
    <row r="739" ht="8.25"/>
    <row r="740" ht="8.25"/>
    <row r="741" ht="8.25"/>
    <row r="742" ht="8.25"/>
    <row r="743" ht="8.25"/>
    <row r="744" ht="8.25"/>
    <row r="745" ht="8.25"/>
    <row r="746" ht="8.25"/>
    <row r="747" ht="8.25"/>
    <row r="748" ht="8.25"/>
    <row r="749" ht="8.25"/>
    <row r="750" ht="8.25"/>
    <row r="751" ht="8.25"/>
    <row r="752" ht="8.25"/>
    <row r="753" ht="8.25"/>
    <row r="754" ht="8.25"/>
    <row r="755" ht="8.25"/>
    <row r="756" ht="8.25"/>
    <row r="757" ht="8.25"/>
    <row r="758" ht="8.25"/>
    <row r="759" ht="8.25"/>
    <row r="760" ht="8.25"/>
    <row r="761" ht="8.25"/>
    <row r="762" ht="8.25"/>
    <row r="763" ht="8.25"/>
    <row r="764" ht="8.25"/>
    <row r="765" ht="8.25"/>
    <row r="766" ht="8.25"/>
    <row r="767" ht="8.25"/>
    <row r="768" ht="8.25"/>
    <row r="769" ht="8.25"/>
    <row r="770" ht="8.25"/>
    <row r="771" ht="8.25"/>
    <row r="772" ht="8.25"/>
    <row r="773" ht="8.25"/>
    <row r="774" ht="8.25"/>
    <row r="775" ht="8.25"/>
    <row r="776" ht="8.25"/>
    <row r="777" ht="8.25"/>
    <row r="778" ht="8.25"/>
    <row r="779" ht="8.25"/>
    <row r="780" ht="8.25"/>
    <row r="781" ht="8.25"/>
    <row r="782" ht="8.25"/>
    <row r="783" ht="8.25"/>
    <row r="784" ht="8.25"/>
    <row r="785" ht="8.25"/>
    <row r="786" ht="8.25"/>
    <row r="787" ht="8.25"/>
    <row r="788" ht="8.25"/>
    <row r="789" ht="8.25"/>
    <row r="790" ht="8.25"/>
    <row r="791" ht="8.25"/>
    <row r="792" ht="8.25"/>
    <row r="793" ht="8.25"/>
    <row r="794" ht="8.25"/>
    <row r="795" ht="8.25"/>
    <row r="796" ht="8.25"/>
    <row r="797" ht="8.25"/>
    <row r="798" ht="8.25"/>
    <row r="799" ht="8.25"/>
    <row r="800" ht="8.25"/>
    <row r="801" ht="8.25"/>
    <row r="802" ht="8.25"/>
    <row r="803" ht="8.25"/>
    <row r="804" ht="8.25"/>
    <row r="805" ht="8.25"/>
    <row r="806" ht="8.25"/>
    <row r="807" ht="8.25"/>
    <row r="808" ht="8.25"/>
    <row r="809" ht="8.25"/>
    <row r="810" ht="8.25"/>
    <row r="811" ht="8.25"/>
    <row r="812" ht="8.25"/>
    <row r="813" ht="8.25"/>
    <row r="814" ht="8.25"/>
    <row r="815" ht="8.25"/>
    <row r="816" ht="8.25"/>
    <row r="817" ht="8.25"/>
    <row r="818" ht="8.25"/>
    <row r="819" ht="8.25"/>
    <row r="820" ht="8.25"/>
    <row r="821" ht="8.25"/>
    <row r="822" ht="8.25"/>
    <row r="823" ht="8.25"/>
    <row r="824" ht="8.25"/>
    <row r="825" ht="8.25"/>
    <row r="826" ht="8.25"/>
    <row r="827" ht="8.25"/>
    <row r="828" ht="8.25"/>
    <row r="829" ht="8.25"/>
    <row r="830" ht="8.25"/>
    <row r="831" ht="8.25"/>
    <row r="832" ht="8.25"/>
    <row r="833" ht="8.25"/>
    <row r="834" ht="8.25"/>
    <row r="835" ht="8.25"/>
    <row r="836" ht="8.25"/>
    <row r="837" ht="8.25"/>
    <row r="838" ht="8.25"/>
    <row r="839" ht="8.25"/>
    <row r="840" ht="8.25"/>
    <row r="841" ht="8.25"/>
    <row r="842" ht="8.25"/>
    <row r="843" ht="8.25"/>
    <row r="844" ht="8.25"/>
    <row r="845" ht="8.25"/>
    <row r="846" ht="8.25"/>
    <row r="847" ht="8.25"/>
    <row r="848" ht="8.25"/>
    <row r="849" ht="8.25"/>
    <row r="850" ht="8.25"/>
    <row r="851" ht="8.25"/>
    <row r="852" ht="8.25"/>
    <row r="853" ht="8.25"/>
    <row r="854" ht="8.25"/>
    <row r="855" ht="8.25"/>
    <row r="856" ht="8.25"/>
    <row r="857" ht="8.25"/>
    <row r="858" ht="8.25"/>
    <row r="859" ht="8.25"/>
    <row r="860" ht="8.25"/>
    <row r="861" ht="8.25"/>
    <row r="862" ht="8.25"/>
    <row r="863" ht="8.25"/>
    <row r="864" ht="8.25"/>
    <row r="865" ht="8.25"/>
    <row r="866" ht="8.25"/>
    <row r="867" ht="8.25"/>
    <row r="868" ht="8.25"/>
    <row r="869" ht="8.25"/>
    <row r="870" ht="8.25"/>
    <row r="871" ht="8.25"/>
    <row r="872" ht="8.25"/>
    <row r="873" ht="8.25"/>
    <row r="874" ht="8.25"/>
    <row r="875" ht="8.25"/>
    <row r="876" ht="8.25"/>
    <row r="877" ht="8.25"/>
    <row r="878" ht="8.25"/>
    <row r="879" ht="8.25"/>
    <row r="880" ht="8.25"/>
    <row r="881" ht="8.25"/>
    <row r="882" ht="8.25"/>
    <row r="883" ht="8.25"/>
    <row r="884" ht="8.25"/>
    <row r="885" ht="8.25"/>
    <row r="886" ht="8.25"/>
    <row r="887" ht="8.25"/>
    <row r="888" ht="8.25"/>
    <row r="889" ht="8.25"/>
    <row r="890" ht="8.25"/>
    <row r="891" ht="8.25"/>
    <row r="892" ht="8.25"/>
    <row r="893" ht="8.25"/>
    <row r="894" ht="8.25"/>
    <row r="895" ht="8.25"/>
    <row r="896" ht="8.25"/>
    <row r="897" ht="8.25"/>
    <row r="898" ht="8.25"/>
    <row r="899" ht="8.25"/>
    <row r="900" ht="8.25"/>
    <row r="901" ht="8.25"/>
    <row r="902" ht="8.25"/>
    <row r="903" ht="8.25"/>
    <row r="904" ht="8.25"/>
    <row r="905" ht="8.25"/>
    <row r="906" ht="8.25"/>
    <row r="907" ht="8.25"/>
    <row r="908" ht="8.25"/>
    <row r="909" ht="8.25"/>
    <row r="910" ht="8.25"/>
    <row r="911" ht="8.25"/>
    <row r="912" ht="8.25"/>
    <row r="913" ht="8.25"/>
    <row r="914" ht="8.25"/>
    <row r="915" ht="8.25"/>
    <row r="916" ht="8.25"/>
    <row r="917" ht="8.25"/>
    <row r="918" ht="8.25"/>
    <row r="919" ht="8.25"/>
    <row r="920" ht="8.25"/>
    <row r="921" ht="8.25"/>
    <row r="922" ht="8.25"/>
    <row r="923" ht="8.25"/>
    <row r="924" ht="8.25"/>
    <row r="925" ht="8.25"/>
    <row r="926" ht="8.25"/>
    <row r="927" ht="8.25"/>
    <row r="928" ht="8.25"/>
    <row r="929" ht="8.25"/>
    <row r="930" ht="8.25"/>
    <row r="931" ht="8.25"/>
    <row r="932" ht="8.25"/>
    <row r="933" ht="8.25"/>
    <row r="934" ht="8.25"/>
    <row r="935" ht="8.25"/>
    <row r="936" ht="8.25"/>
    <row r="937" ht="8.25"/>
    <row r="938" ht="8.25"/>
    <row r="939" ht="8.25"/>
    <row r="940" ht="8.25"/>
    <row r="941" ht="8.25"/>
    <row r="942" ht="8.25"/>
    <row r="943" ht="8.25"/>
    <row r="944" ht="8.25"/>
    <row r="945" ht="8.25"/>
    <row r="946" ht="8.25"/>
    <row r="947" ht="8.25"/>
    <row r="948" ht="8.25"/>
    <row r="949" ht="8.25"/>
    <row r="950" ht="8.25"/>
    <row r="951" ht="8.25"/>
    <row r="952" ht="8.25"/>
    <row r="953" ht="8.25"/>
    <row r="954" ht="8.25"/>
    <row r="955" ht="8.25"/>
    <row r="956" ht="8.25"/>
    <row r="957" ht="8.25"/>
    <row r="958" ht="8.25"/>
    <row r="959" ht="8.25"/>
    <row r="960" ht="8.25"/>
    <row r="961" ht="8.25"/>
    <row r="962" ht="8.25"/>
    <row r="963" ht="8.25"/>
    <row r="964" ht="8.25"/>
    <row r="965" ht="8.25"/>
    <row r="966" ht="8.25"/>
    <row r="967" ht="8.25"/>
    <row r="968" ht="8.25"/>
    <row r="969" ht="8.25"/>
    <row r="970" ht="8.25"/>
    <row r="971" ht="8.25"/>
    <row r="972" ht="8.25"/>
    <row r="973" ht="8.25"/>
    <row r="974" ht="8.25"/>
    <row r="975" ht="8.25"/>
    <row r="976" ht="8.25"/>
    <row r="977" ht="8.25"/>
    <row r="978" ht="8.25"/>
    <row r="979" ht="8.25"/>
    <row r="980" ht="8.25"/>
    <row r="981" ht="8.25"/>
    <row r="982" ht="8.25"/>
    <row r="983" ht="8.25"/>
    <row r="984" ht="8.25"/>
    <row r="985" ht="8.25"/>
    <row r="986" ht="8.25"/>
    <row r="987" ht="8.25"/>
    <row r="988" ht="8.25"/>
    <row r="989" ht="8.25"/>
    <row r="990" ht="8.25"/>
    <row r="991" ht="8.25"/>
    <row r="992" ht="8.25"/>
    <row r="993" ht="8.25"/>
    <row r="994" ht="8.25"/>
    <row r="995" ht="8.25"/>
    <row r="996" ht="8.25"/>
    <row r="997" ht="8.25"/>
    <row r="998" ht="8.25"/>
    <row r="999" ht="8.25"/>
    <row r="1000" ht="8.25"/>
  </sheetData>
  <customSheetViews>
    <customSheetView guid="{4967B4D3-2148-4EC9-AC6A-2464C239F7B5}" scale="142" topLeftCell="A376">
      <selection activeCell="R371" sqref="R371"/>
      <pageMargins left="0.7" right="0.7" top="0.75" bottom="0.75" header="0.3" footer="0.3"/>
    </customSheetView>
    <customSheetView guid="{A89E60AC-3467-45A7-8AD6-1B29F6F985F4}" scale="142" showPageBreaks="1" fitToPage="1" topLeftCell="A16">
      <selection activeCell="I17" sqref="A16:XFD18"/>
      <pageMargins left="0.70866141732283472" right="0.31496062992125984" top="0.35433070866141736" bottom="0.39370078740157483" header="0" footer="0"/>
      <pageSetup paperSize="9" fitToHeight="0" orientation="landscape" verticalDpi="0" r:id="rId1"/>
    </customSheetView>
  </customSheetViews>
  <mergeCells count="868">
    <mergeCell ref="C249:G249"/>
    <mergeCell ref="C250:G250"/>
    <mergeCell ref="C251:G251"/>
    <mergeCell ref="C252:G252"/>
    <mergeCell ref="A388:B388"/>
    <mergeCell ref="A396:B396"/>
    <mergeCell ref="A399:B399"/>
    <mergeCell ref="A397:B397"/>
    <mergeCell ref="A398:B398"/>
    <mergeCell ref="C396:G396"/>
    <mergeCell ref="C397:G397"/>
    <mergeCell ref="C399:G399"/>
    <mergeCell ref="C388:G388"/>
    <mergeCell ref="A389:B389"/>
    <mergeCell ref="C389:G389"/>
    <mergeCell ref="C391:G391"/>
    <mergeCell ref="C254:G254"/>
    <mergeCell ref="C395:G395"/>
    <mergeCell ref="C394:G394"/>
    <mergeCell ref="C273:G273"/>
    <mergeCell ref="C267:G267"/>
    <mergeCell ref="C268:G268"/>
    <mergeCell ref="C269:G269"/>
    <mergeCell ref="C270:G270"/>
    <mergeCell ref="C271:G271"/>
    <mergeCell ref="C272:G272"/>
    <mergeCell ref="C262:G262"/>
    <mergeCell ref="C263:G263"/>
    <mergeCell ref="C274:G274"/>
    <mergeCell ref="C275:G275"/>
    <mergeCell ref="C257:G257"/>
    <mergeCell ref="C258:G258"/>
    <mergeCell ref="C259:G259"/>
    <mergeCell ref="C260:G260"/>
    <mergeCell ref="C265:G265"/>
    <mergeCell ref="A351:B351"/>
    <mergeCell ref="A352:B352"/>
    <mergeCell ref="A353:B353"/>
    <mergeCell ref="A354:B354"/>
    <mergeCell ref="A355:B355"/>
    <mergeCell ref="A356:B356"/>
    <mergeCell ref="A345:B345"/>
    <mergeCell ref="A346:B346"/>
    <mergeCell ref="A347:B347"/>
    <mergeCell ref="A348:B348"/>
    <mergeCell ref="A349:B349"/>
    <mergeCell ref="A350:B350"/>
    <mergeCell ref="A342:B342"/>
    <mergeCell ref="A343:B343"/>
    <mergeCell ref="A337:B337"/>
    <mergeCell ref="A338:B338"/>
    <mergeCell ref="A333:B333"/>
    <mergeCell ref="A327:B327"/>
    <mergeCell ref="A340:B340"/>
    <mergeCell ref="A344:B344"/>
    <mergeCell ref="A334:B334"/>
    <mergeCell ref="A335:B335"/>
    <mergeCell ref="A336:B336"/>
    <mergeCell ref="A324:B324"/>
    <mergeCell ref="A325:B325"/>
    <mergeCell ref="A326:B326"/>
    <mergeCell ref="A311:B311"/>
    <mergeCell ref="A312:B312"/>
    <mergeCell ref="A313:B313"/>
    <mergeCell ref="A314:B314"/>
    <mergeCell ref="A319:B319"/>
    <mergeCell ref="A320:B320"/>
    <mergeCell ref="A322:B322"/>
    <mergeCell ref="A323:B323"/>
    <mergeCell ref="A309:B309"/>
    <mergeCell ref="A310:B310"/>
    <mergeCell ref="A300:B300"/>
    <mergeCell ref="A289:B289"/>
    <mergeCell ref="A290:B290"/>
    <mergeCell ref="A291:B291"/>
    <mergeCell ref="A292:B292"/>
    <mergeCell ref="A316:B316"/>
    <mergeCell ref="A317:B317"/>
    <mergeCell ref="A294:B294"/>
    <mergeCell ref="A295:B295"/>
    <mergeCell ref="A298:B298"/>
    <mergeCell ref="A299:B299"/>
    <mergeCell ref="A288:B288"/>
    <mergeCell ref="A305:B305"/>
    <mergeCell ref="C307:G307"/>
    <mergeCell ref="C308:G308"/>
    <mergeCell ref="C302:G302"/>
    <mergeCell ref="A296:B296"/>
    <mergeCell ref="A297:B297"/>
    <mergeCell ref="A301:B301"/>
    <mergeCell ref="A302:B302"/>
    <mergeCell ref="A303:B303"/>
    <mergeCell ref="A304:B304"/>
    <mergeCell ref="A306:B306"/>
    <mergeCell ref="A307:B307"/>
    <mergeCell ref="A308:B308"/>
    <mergeCell ref="C300:G300"/>
    <mergeCell ref="C301:G301"/>
    <mergeCell ref="C303:G303"/>
    <mergeCell ref="C304:G304"/>
    <mergeCell ref="C305:G305"/>
    <mergeCell ref="C306:G306"/>
    <mergeCell ref="C225:G225"/>
    <mergeCell ref="C219:G219"/>
    <mergeCell ref="C220:G220"/>
    <mergeCell ref="C237:G237"/>
    <mergeCell ref="C236:G236"/>
    <mergeCell ref="A279:B279"/>
    <mergeCell ref="A280:B280"/>
    <mergeCell ref="A270:B270"/>
    <mergeCell ref="A254:B254"/>
    <mergeCell ref="A255:B255"/>
    <mergeCell ref="A256:B256"/>
    <mergeCell ref="A253:B253"/>
    <mergeCell ref="A251:B251"/>
    <mergeCell ref="A252:B252"/>
    <mergeCell ref="A247:B247"/>
    <mergeCell ref="A248:B248"/>
    <mergeCell ref="A246:B246"/>
    <mergeCell ref="A250:B250"/>
    <mergeCell ref="C255:G255"/>
    <mergeCell ref="C256:G256"/>
    <mergeCell ref="C244:G244"/>
    <mergeCell ref="C245:G245"/>
    <mergeCell ref="C246:G246"/>
    <mergeCell ref="C247:G247"/>
    <mergeCell ref="E9:F9"/>
    <mergeCell ref="D7:F7"/>
    <mergeCell ref="D8:F8"/>
    <mergeCell ref="C16:G17"/>
    <mergeCell ref="H16:H17"/>
    <mergeCell ref="C20:G20"/>
    <mergeCell ref="C21:G21"/>
    <mergeCell ref="C74:G74"/>
    <mergeCell ref="C68:G68"/>
    <mergeCell ref="C47:G47"/>
    <mergeCell ref="C48:G48"/>
    <mergeCell ref="C49:G49"/>
    <mergeCell ref="C55:G55"/>
    <mergeCell ref="C34:G34"/>
    <mergeCell ref="C35:G35"/>
    <mergeCell ref="C36:G36"/>
    <mergeCell ref="C37:G37"/>
    <mergeCell ref="C43:G43"/>
    <mergeCell ref="C52:G52"/>
    <mergeCell ref="C53:G53"/>
    <mergeCell ref="C54:G54"/>
    <mergeCell ref="C41:G41"/>
    <mergeCell ref="C42:G42"/>
    <mergeCell ref="C51:G51"/>
    <mergeCell ref="C136:G136"/>
    <mergeCell ref="C125:G125"/>
    <mergeCell ref="C126:G126"/>
    <mergeCell ref="C127:G127"/>
    <mergeCell ref="C124:G124"/>
    <mergeCell ref="C189:G189"/>
    <mergeCell ref="C183:G183"/>
    <mergeCell ref="C159:G159"/>
    <mergeCell ref="C143:G143"/>
    <mergeCell ref="C144:G144"/>
    <mergeCell ref="C145:G145"/>
    <mergeCell ref="C146:G146"/>
    <mergeCell ref="C141:G141"/>
    <mergeCell ref="C185:G185"/>
    <mergeCell ref="C186:G186"/>
    <mergeCell ref="C187:G187"/>
    <mergeCell ref="C115:G115"/>
    <mergeCell ref="C99:G99"/>
    <mergeCell ref="C56:G56"/>
    <mergeCell ref="C57:G57"/>
    <mergeCell ref="A16:B17"/>
    <mergeCell ref="A26:B26"/>
    <mergeCell ref="A27:B27"/>
    <mergeCell ref="A28:B28"/>
    <mergeCell ref="A25:B25"/>
    <mergeCell ref="A20:B20"/>
    <mergeCell ref="A21:B21"/>
    <mergeCell ref="A22:B22"/>
    <mergeCell ref="A23:B23"/>
    <mergeCell ref="A24:B24"/>
    <mergeCell ref="A19:S19"/>
    <mergeCell ref="C18:G18"/>
    <mergeCell ref="A18:B18"/>
    <mergeCell ref="C22:G22"/>
    <mergeCell ref="C23:G23"/>
    <mergeCell ref="P16:Q16"/>
    <mergeCell ref="R16:S16"/>
    <mergeCell ref="A48:B48"/>
    <mergeCell ref="A50:B50"/>
    <mergeCell ref="C38:G38"/>
    <mergeCell ref="C39:G39"/>
    <mergeCell ref="C40:G40"/>
    <mergeCell ref="A39:B39"/>
    <mergeCell ref="A40:B40"/>
    <mergeCell ref="A41:B41"/>
    <mergeCell ref="C85:G85"/>
    <mergeCell ref="C75:G75"/>
    <mergeCell ref="C76:G76"/>
    <mergeCell ref="C79:G79"/>
    <mergeCell ref="C77:G77"/>
    <mergeCell ref="C78:G78"/>
    <mergeCell ref="A65:B65"/>
    <mergeCell ref="A66:B66"/>
    <mergeCell ref="A70:B70"/>
    <mergeCell ref="A71:B71"/>
    <mergeCell ref="A72:B72"/>
    <mergeCell ref="A68:B68"/>
    <mergeCell ref="A69:B69"/>
    <mergeCell ref="A73:B73"/>
    <mergeCell ref="C72:G72"/>
    <mergeCell ref="C80:G80"/>
    <mergeCell ref="A42:B42"/>
    <mergeCell ref="A45:B45"/>
    <mergeCell ref="A44:B44"/>
    <mergeCell ref="C44:G44"/>
    <mergeCell ref="A46:B46"/>
    <mergeCell ref="A380:B380"/>
    <mergeCell ref="A371:B371"/>
    <mergeCell ref="A362:B362"/>
    <mergeCell ref="A318:B318"/>
    <mergeCell ref="A328:B328"/>
    <mergeCell ref="A329:B329"/>
    <mergeCell ref="A330:B330"/>
    <mergeCell ref="A331:B331"/>
    <mergeCell ref="A332:B332"/>
    <mergeCell ref="A364:B364"/>
    <mergeCell ref="A360:B360"/>
    <mergeCell ref="A363:B363"/>
    <mergeCell ref="A372:B372"/>
    <mergeCell ref="A370:B370"/>
    <mergeCell ref="A375:B375"/>
    <mergeCell ref="A357:B357"/>
    <mergeCell ref="A358:B358"/>
    <mergeCell ref="A359:B359"/>
    <mergeCell ref="A361:B361"/>
    <mergeCell ref="A339:B339"/>
    <mergeCell ref="A341:B341"/>
    <mergeCell ref="A321:B321"/>
    <mergeCell ref="C223:G223"/>
    <mergeCell ref="C224:G224"/>
    <mergeCell ref="C218:G218"/>
    <mergeCell ref="C209:G209"/>
    <mergeCell ref="C210:G210"/>
    <mergeCell ref="A271:B271"/>
    <mergeCell ref="A272:B272"/>
    <mergeCell ref="A273:B273"/>
    <mergeCell ref="A274:B274"/>
    <mergeCell ref="A257:B257"/>
    <mergeCell ref="A258:B258"/>
    <mergeCell ref="A259:B259"/>
    <mergeCell ref="A260:B260"/>
    <mergeCell ref="A261:B261"/>
    <mergeCell ref="A269:B269"/>
    <mergeCell ref="A263:B263"/>
    <mergeCell ref="A264:B264"/>
    <mergeCell ref="A265:B265"/>
    <mergeCell ref="A266:B266"/>
    <mergeCell ref="A267:B267"/>
    <mergeCell ref="A268:B268"/>
    <mergeCell ref="A262:B262"/>
    <mergeCell ref="C243:G243"/>
    <mergeCell ref="C241:G241"/>
    <mergeCell ref="A211:B211"/>
    <mergeCell ref="C201:G201"/>
    <mergeCell ref="C202:G202"/>
    <mergeCell ref="C203:G203"/>
    <mergeCell ref="C204:G204"/>
    <mergeCell ref="C205:G205"/>
    <mergeCell ref="C206:G206"/>
    <mergeCell ref="C198:G198"/>
    <mergeCell ref="C199:G199"/>
    <mergeCell ref="C207:G207"/>
    <mergeCell ref="C208:G208"/>
    <mergeCell ref="A196:B196"/>
    <mergeCell ref="A200:B200"/>
    <mergeCell ref="A201:B201"/>
    <mergeCell ref="A202:B202"/>
    <mergeCell ref="A203:B203"/>
    <mergeCell ref="A209:B209"/>
    <mergeCell ref="A210:B210"/>
    <mergeCell ref="A198:B198"/>
    <mergeCell ref="C100:G100"/>
    <mergeCell ref="C101:G101"/>
    <mergeCell ref="C111:G111"/>
    <mergeCell ref="C129:G129"/>
    <mergeCell ref="C116:G116"/>
    <mergeCell ref="C117:G117"/>
    <mergeCell ref="A225:B225"/>
    <mergeCell ref="A192:B192"/>
    <mergeCell ref="A197:B197"/>
    <mergeCell ref="A214:B214"/>
    <mergeCell ref="A215:B215"/>
    <mergeCell ref="A216:B216"/>
    <mergeCell ref="A217:B217"/>
    <mergeCell ref="C193:G193"/>
    <mergeCell ref="C194:G194"/>
    <mergeCell ref="C221:G221"/>
    <mergeCell ref="C222:G222"/>
    <mergeCell ref="C211:G211"/>
    <mergeCell ref="C212:G212"/>
    <mergeCell ref="C213:G213"/>
    <mergeCell ref="C214:G214"/>
    <mergeCell ref="C215:G215"/>
    <mergeCell ref="C216:G216"/>
    <mergeCell ref="C217:G217"/>
    <mergeCell ref="C200:G200"/>
    <mergeCell ref="A187:B187"/>
    <mergeCell ref="A188:B188"/>
    <mergeCell ref="A189:B189"/>
    <mergeCell ref="A190:B190"/>
    <mergeCell ref="A191:B191"/>
    <mergeCell ref="C184:G184"/>
    <mergeCell ref="C190:G190"/>
    <mergeCell ref="C191:G191"/>
    <mergeCell ref="C192:G192"/>
    <mergeCell ref="A132:B132"/>
    <mergeCell ref="A133:B133"/>
    <mergeCell ref="A81:B81"/>
    <mergeCell ref="A119:B119"/>
    <mergeCell ref="A110:B110"/>
    <mergeCell ref="A105:B105"/>
    <mergeCell ref="A92:B92"/>
    <mergeCell ref="A93:B93"/>
    <mergeCell ref="A91:B91"/>
    <mergeCell ref="A84:B84"/>
    <mergeCell ref="A85:B85"/>
    <mergeCell ref="A86:B86"/>
    <mergeCell ref="A87:B87"/>
    <mergeCell ref="A88:B88"/>
    <mergeCell ref="A89:B89"/>
    <mergeCell ref="A90:B90"/>
    <mergeCell ref="A106:B106"/>
    <mergeCell ref="A107:B107"/>
    <mergeCell ref="A100:B100"/>
    <mergeCell ref="A101:B101"/>
    <mergeCell ref="A103:B103"/>
    <mergeCell ref="A94:B94"/>
    <mergeCell ref="A95:B95"/>
    <mergeCell ref="A96:B96"/>
    <mergeCell ref="A63:B63"/>
    <mergeCell ref="A79:B79"/>
    <mergeCell ref="A67:B67"/>
    <mergeCell ref="A64:B64"/>
    <mergeCell ref="A80:B80"/>
    <mergeCell ref="A51:B51"/>
    <mergeCell ref="A52:B52"/>
    <mergeCell ref="A58:B58"/>
    <mergeCell ref="A59:B59"/>
    <mergeCell ref="A60:B60"/>
    <mergeCell ref="A56:B56"/>
    <mergeCell ref="A57:B57"/>
    <mergeCell ref="C228:G228"/>
    <mergeCell ref="C240:G240"/>
    <mergeCell ref="A231:B231"/>
    <mergeCell ref="A230:B230"/>
    <mergeCell ref="A229:B229"/>
    <mergeCell ref="A47:B47"/>
    <mergeCell ref="A34:B34"/>
    <mergeCell ref="A35:B35"/>
    <mergeCell ref="A36:B36"/>
    <mergeCell ref="A38:B38"/>
    <mergeCell ref="A43:B43"/>
    <mergeCell ref="A37:B37"/>
    <mergeCell ref="A212:B212"/>
    <mergeCell ref="A213:B213"/>
    <mergeCell ref="A136:B136"/>
    <mergeCell ref="A137:B137"/>
    <mergeCell ref="A138:B138"/>
    <mergeCell ref="A139:B139"/>
    <mergeCell ref="A135:B135"/>
    <mergeCell ref="A207:B207"/>
    <mergeCell ref="A208:B208"/>
    <mergeCell ref="A82:B82"/>
    <mergeCell ref="A61:B61"/>
    <mergeCell ref="A62:B6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40:B240"/>
    <mergeCell ref="A157:B157"/>
    <mergeCell ref="C169:G169"/>
    <mergeCell ref="C175:G175"/>
    <mergeCell ref="C176:G176"/>
    <mergeCell ref="C166:G166"/>
    <mergeCell ref="C167:G167"/>
    <mergeCell ref="C170:G170"/>
    <mergeCell ref="A281:B281"/>
    <mergeCell ref="A282:B282"/>
    <mergeCell ref="A239:B239"/>
    <mergeCell ref="C229:G229"/>
    <mergeCell ref="C230:G230"/>
    <mergeCell ref="C231:G231"/>
    <mergeCell ref="C232:G232"/>
    <mergeCell ref="C226:G226"/>
    <mergeCell ref="C238:G238"/>
    <mergeCell ref="C233:G233"/>
    <mergeCell ref="A232:B232"/>
    <mergeCell ref="A233:B233"/>
    <mergeCell ref="A234:B234"/>
    <mergeCell ref="A226:B226"/>
    <mergeCell ref="A227:B227"/>
    <mergeCell ref="A228:B228"/>
    <mergeCell ref="C227:G227"/>
    <mergeCell ref="A369:G369"/>
    <mergeCell ref="A368:B368"/>
    <mergeCell ref="A108:B108"/>
    <mergeCell ref="A109:B109"/>
    <mergeCell ref="A113:B113"/>
    <mergeCell ref="A114:B114"/>
    <mergeCell ref="A115:B115"/>
    <mergeCell ref="A141:B141"/>
    <mergeCell ref="A134:B134"/>
    <mergeCell ref="A123:B123"/>
    <mergeCell ref="A124:B124"/>
    <mergeCell ref="A125:B125"/>
    <mergeCell ref="A126:B126"/>
    <mergeCell ref="A127:B127"/>
    <mergeCell ref="A120:B120"/>
    <mergeCell ref="A121:B121"/>
    <mergeCell ref="C132:G132"/>
    <mergeCell ref="C133:G133"/>
    <mergeCell ref="C134:G134"/>
    <mergeCell ref="C135:G135"/>
    <mergeCell ref="C128:G128"/>
    <mergeCell ref="C253:G253"/>
    <mergeCell ref="C248:G248"/>
    <mergeCell ref="A205:B205"/>
    <mergeCell ref="C121:G121"/>
    <mergeCell ref="C122:G122"/>
    <mergeCell ref="C123:G123"/>
    <mergeCell ref="C108:G108"/>
    <mergeCell ref="C113:G113"/>
    <mergeCell ref="C102:G102"/>
    <mergeCell ref="C104:G104"/>
    <mergeCell ref="A366:B367"/>
    <mergeCell ref="C366:G367"/>
    <mergeCell ref="C364:G364"/>
    <mergeCell ref="A206:B206"/>
    <mergeCell ref="A223:B223"/>
    <mergeCell ref="A224:B224"/>
    <mergeCell ref="A249:B249"/>
    <mergeCell ref="A242:B242"/>
    <mergeCell ref="C153:G153"/>
    <mergeCell ref="C155:G155"/>
    <mergeCell ref="C156:G156"/>
    <mergeCell ref="C157:G157"/>
    <mergeCell ref="C158:G158"/>
    <mergeCell ref="A163:S163"/>
    <mergeCell ref="A160:B160"/>
    <mergeCell ref="A158:B158"/>
    <mergeCell ref="A159:B159"/>
    <mergeCell ref="A161:B161"/>
    <mergeCell ref="A162:B162"/>
    <mergeCell ref="C137:G137"/>
    <mergeCell ref="C138:G138"/>
    <mergeCell ref="C139:G139"/>
    <mergeCell ref="C140:G140"/>
    <mergeCell ref="C147:G147"/>
    <mergeCell ref="C154:G154"/>
    <mergeCell ref="C148:G148"/>
    <mergeCell ref="C149:G149"/>
    <mergeCell ref="C150:G150"/>
    <mergeCell ref="C151:G151"/>
    <mergeCell ref="C152:G152"/>
    <mergeCell ref="A142:B142"/>
    <mergeCell ref="A143:B143"/>
    <mergeCell ref="A144:B144"/>
    <mergeCell ref="A145:B145"/>
    <mergeCell ref="A153:B153"/>
    <mergeCell ref="A154:B154"/>
    <mergeCell ref="A146:B146"/>
    <mergeCell ref="A140:B140"/>
    <mergeCell ref="A150:B150"/>
    <mergeCell ref="A152:B152"/>
    <mergeCell ref="A151:B151"/>
    <mergeCell ref="C58:G58"/>
    <mergeCell ref="C59:G59"/>
    <mergeCell ref="C60:G60"/>
    <mergeCell ref="C86:G86"/>
    <mergeCell ref="C73:G73"/>
    <mergeCell ref="C62:G62"/>
    <mergeCell ref="C63:G63"/>
    <mergeCell ref="C64:G64"/>
    <mergeCell ref="C65:G65"/>
    <mergeCell ref="C66:G66"/>
    <mergeCell ref="C67:G67"/>
    <mergeCell ref="C81:G81"/>
    <mergeCell ref="C84:G84"/>
    <mergeCell ref="C69:G69"/>
    <mergeCell ref="C70:G70"/>
    <mergeCell ref="C71:G71"/>
    <mergeCell ref="A77:B77"/>
    <mergeCell ref="C88:G88"/>
    <mergeCell ref="C92:G92"/>
    <mergeCell ref="C93:G93"/>
    <mergeCell ref="C94:G94"/>
    <mergeCell ref="C95:G95"/>
    <mergeCell ref="C96:G96"/>
    <mergeCell ref="C97:G97"/>
    <mergeCell ref="C91:G91"/>
    <mergeCell ref="C87:G87"/>
    <mergeCell ref="C89:G89"/>
    <mergeCell ref="C90:G90"/>
    <mergeCell ref="C82:G82"/>
    <mergeCell ref="C83:G83"/>
    <mergeCell ref="A78:B78"/>
    <mergeCell ref="A97:B97"/>
    <mergeCell ref="B13:F13"/>
    <mergeCell ref="A15:S15"/>
    <mergeCell ref="B14:F14"/>
    <mergeCell ref="N16:O16"/>
    <mergeCell ref="C24:G24"/>
    <mergeCell ref="C25:G25"/>
    <mergeCell ref="C32:G32"/>
    <mergeCell ref="C33:G33"/>
    <mergeCell ref="A29:B29"/>
    <mergeCell ref="A30:B30"/>
    <mergeCell ref="A31:B31"/>
    <mergeCell ref="C30:G30"/>
    <mergeCell ref="C31:G31"/>
    <mergeCell ref="C26:G26"/>
    <mergeCell ref="C27:G27"/>
    <mergeCell ref="C28:G28"/>
    <mergeCell ref="C29:G29"/>
    <mergeCell ref="L16:M16"/>
    <mergeCell ref="A147:B147"/>
    <mergeCell ref="A148:B148"/>
    <mergeCell ref="A149:B149"/>
    <mergeCell ref="C98:G98"/>
    <mergeCell ref="A98:B98"/>
    <mergeCell ref="A99:B99"/>
    <mergeCell ref="A102:B102"/>
    <mergeCell ref="A130:B130"/>
    <mergeCell ref="A131:B131"/>
    <mergeCell ref="C109:G109"/>
    <mergeCell ref="C103:G103"/>
    <mergeCell ref="C110:G110"/>
    <mergeCell ref="C130:G130"/>
    <mergeCell ref="C131:G131"/>
    <mergeCell ref="C107:G107"/>
    <mergeCell ref="C105:G105"/>
    <mergeCell ref="C106:G106"/>
    <mergeCell ref="C114:G114"/>
    <mergeCell ref="C112:G112"/>
    <mergeCell ref="A118:B118"/>
    <mergeCell ref="C142:G142"/>
    <mergeCell ref="C118:G118"/>
    <mergeCell ref="C119:G119"/>
    <mergeCell ref="C120:G120"/>
    <mergeCell ref="A186:B186"/>
    <mergeCell ref="A182:B182"/>
    <mergeCell ref="A183:B183"/>
    <mergeCell ref="A184:B184"/>
    <mergeCell ref="A33:B33"/>
    <mergeCell ref="A32:B32"/>
    <mergeCell ref="A83:B83"/>
    <mergeCell ref="C61:G61"/>
    <mergeCell ref="C50:G50"/>
    <mergeCell ref="C165:G165"/>
    <mergeCell ref="C160:G160"/>
    <mergeCell ref="C161:G161"/>
    <mergeCell ref="C162:G162"/>
    <mergeCell ref="C164:G164"/>
    <mergeCell ref="A53:B53"/>
    <mergeCell ref="A54:B54"/>
    <mergeCell ref="A155:B155"/>
    <mergeCell ref="A156:B156"/>
    <mergeCell ref="C45:G45"/>
    <mergeCell ref="C46:G46"/>
    <mergeCell ref="A104:B104"/>
    <mergeCell ref="A166:B166"/>
    <mergeCell ref="A167:B167"/>
    <mergeCell ref="A168:B168"/>
    <mergeCell ref="C329:G329"/>
    <mergeCell ref="C330:G330"/>
    <mergeCell ref="C331:G331"/>
    <mergeCell ref="C332:G332"/>
    <mergeCell ref="C328:G328"/>
    <mergeCell ref="C327:G327"/>
    <mergeCell ref="C336:G336"/>
    <mergeCell ref="C168:G168"/>
    <mergeCell ref="A193:B193"/>
    <mergeCell ref="A204:B204"/>
    <mergeCell ref="A194:B194"/>
    <mergeCell ref="A195:B195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95:G195"/>
    <mergeCell ref="C317:G317"/>
    <mergeCell ref="C318:G318"/>
    <mergeCell ref="C311:G311"/>
    <mergeCell ref="C312:G312"/>
    <mergeCell ref="C322:G322"/>
    <mergeCell ref="C313:G313"/>
    <mergeCell ref="C314:G314"/>
    <mergeCell ref="C316:G316"/>
    <mergeCell ref="C321:G321"/>
    <mergeCell ref="H366:H367"/>
    <mergeCell ref="C352:G352"/>
    <mergeCell ref="C353:G353"/>
    <mergeCell ref="C297:G297"/>
    <mergeCell ref="C291:G291"/>
    <mergeCell ref="C276:G276"/>
    <mergeCell ref="C277:G277"/>
    <mergeCell ref="C283:G283"/>
    <mergeCell ref="C296:G296"/>
    <mergeCell ref="C290:G290"/>
    <mergeCell ref="C282:G282"/>
    <mergeCell ref="C280:G280"/>
    <mergeCell ref="C281:G281"/>
    <mergeCell ref="C292:G292"/>
    <mergeCell ref="C293:G293"/>
    <mergeCell ref="C294:G294"/>
    <mergeCell ref="C295:G295"/>
    <mergeCell ref="C284:G284"/>
    <mergeCell ref="C339:G339"/>
    <mergeCell ref="C325:G325"/>
    <mergeCell ref="C326:G326"/>
    <mergeCell ref="C333:G333"/>
    <mergeCell ref="C319:G319"/>
    <mergeCell ref="C320:G320"/>
    <mergeCell ref="C371:G371"/>
    <mergeCell ref="C372:G372"/>
    <mergeCell ref="C368:G368"/>
    <mergeCell ref="C362:G362"/>
    <mergeCell ref="C363:G363"/>
    <mergeCell ref="C375:G375"/>
    <mergeCell ref="C374:G374"/>
    <mergeCell ref="C196:G196"/>
    <mergeCell ref="C197:G197"/>
    <mergeCell ref="C285:G285"/>
    <mergeCell ref="C286:G286"/>
    <mergeCell ref="C287:G287"/>
    <mergeCell ref="C288:G288"/>
    <mergeCell ref="C289:G289"/>
    <mergeCell ref="C278:G278"/>
    <mergeCell ref="C279:G279"/>
    <mergeCell ref="C373:G373"/>
    <mergeCell ref="C234:G234"/>
    <mergeCell ref="C235:G235"/>
    <mergeCell ref="C239:G239"/>
    <mergeCell ref="C242:G242"/>
    <mergeCell ref="C261:G261"/>
    <mergeCell ref="C266:G266"/>
    <mergeCell ref="C264:G264"/>
    <mergeCell ref="C386:G386"/>
    <mergeCell ref="A387:B387"/>
    <mergeCell ref="C387:G387"/>
    <mergeCell ref="A383:B383"/>
    <mergeCell ref="C383:G383"/>
    <mergeCell ref="C298:G298"/>
    <mergeCell ref="C299:G299"/>
    <mergeCell ref="C309:G309"/>
    <mergeCell ref="C310:G310"/>
    <mergeCell ref="C376:G376"/>
    <mergeCell ref="C358:G358"/>
    <mergeCell ref="C359:G359"/>
    <mergeCell ref="C360:G360"/>
    <mergeCell ref="C361:G361"/>
    <mergeCell ref="C323:G323"/>
    <mergeCell ref="C324:G324"/>
    <mergeCell ref="C335:G335"/>
    <mergeCell ref="C349:G349"/>
    <mergeCell ref="C350:G350"/>
    <mergeCell ref="C337:G337"/>
    <mergeCell ref="C338:G338"/>
    <mergeCell ref="C378:G378"/>
    <mergeCell ref="C379:G379"/>
    <mergeCell ref="C370:G370"/>
    <mergeCell ref="A373:B373"/>
    <mergeCell ref="C400:G400"/>
    <mergeCell ref="C398:G398"/>
    <mergeCell ref="A365:S365"/>
    <mergeCell ref="A315:S315"/>
    <mergeCell ref="R366:S366"/>
    <mergeCell ref="C354:G354"/>
    <mergeCell ref="C355:G355"/>
    <mergeCell ref="C356:G356"/>
    <mergeCell ref="C357:G357"/>
    <mergeCell ref="C346:G346"/>
    <mergeCell ref="C351:G351"/>
    <mergeCell ref="C347:G347"/>
    <mergeCell ref="C348:G348"/>
    <mergeCell ref="C341:G341"/>
    <mergeCell ref="C342:G342"/>
    <mergeCell ref="C343:G343"/>
    <mergeCell ref="C344:G344"/>
    <mergeCell ref="C345:G345"/>
    <mergeCell ref="C340:G340"/>
    <mergeCell ref="C334:G334"/>
    <mergeCell ref="A385:B385"/>
    <mergeCell ref="C385:G385"/>
    <mergeCell ref="A386:B386"/>
    <mergeCell ref="A438:B438"/>
    <mergeCell ref="A439:B439"/>
    <mergeCell ref="A433:B433"/>
    <mergeCell ref="A434:B434"/>
    <mergeCell ref="A435:B435"/>
    <mergeCell ref="A442:B442"/>
    <mergeCell ref="C442:G442"/>
    <mergeCell ref="A169:B169"/>
    <mergeCell ref="A165:B165"/>
    <mergeCell ref="A218:B218"/>
    <mergeCell ref="A219:B219"/>
    <mergeCell ref="A220:B220"/>
    <mergeCell ref="A221:B221"/>
    <mergeCell ref="A222:B222"/>
    <mergeCell ref="A199:B199"/>
    <mergeCell ref="C437:G437"/>
    <mergeCell ref="C433:G433"/>
    <mergeCell ref="C434:G434"/>
    <mergeCell ref="C435:G435"/>
    <mergeCell ref="C436:G436"/>
    <mergeCell ref="A424:B424"/>
    <mergeCell ref="C424:G424"/>
    <mergeCell ref="A425:B425"/>
    <mergeCell ref="A426:B426"/>
    <mergeCell ref="A440:B440"/>
    <mergeCell ref="A441:B441"/>
    <mergeCell ref="A431:B431"/>
    <mergeCell ref="C430:G430"/>
    <mergeCell ref="C431:G431"/>
    <mergeCell ref="A432:B432"/>
    <mergeCell ref="C432:G432"/>
    <mergeCell ref="A423:B423"/>
    <mergeCell ref="A447:B447"/>
    <mergeCell ref="C447:G447"/>
    <mergeCell ref="C446:G446"/>
    <mergeCell ref="A436:B436"/>
    <mergeCell ref="A444:B444"/>
    <mergeCell ref="A445:B445"/>
    <mergeCell ref="A446:B446"/>
    <mergeCell ref="A437:B437"/>
    <mergeCell ref="A443:B443"/>
    <mergeCell ref="C441:G441"/>
    <mergeCell ref="C445:G445"/>
    <mergeCell ref="C443:G443"/>
    <mergeCell ref="C444:G444"/>
    <mergeCell ref="C440:G440"/>
    <mergeCell ref="C438:G438"/>
    <mergeCell ref="C439:G439"/>
    <mergeCell ref="A422:B422"/>
    <mergeCell ref="A420:B420"/>
    <mergeCell ref="A421:B421"/>
    <mergeCell ref="A430:B430"/>
    <mergeCell ref="C423:G423"/>
    <mergeCell ref="A419:B419"/>
    <mergeCell ref="C418:G418"/>
    <mergeCell ref="C419:G419"/>
    <mergeCell ref="C420:G420"/>
    <mergeCell ref="C422:G422"/>
    <mergeCell ref="C421:G421"/>
    <mergeCell ref="C426:G426"/>
    <mergeCell ref="A427:B427"/>
    <mergeCell ref="A428:B428"/>
    <mergeCell ref="A429:B429"/>
    <mergeCell ref="C427:G427"/>
    <mergeCell ref="C428:G428"/>
    <mergeCell ref="C429:G429"/>
    <mergeCell ref="C425:G425"/>
    <mergeCell ref="A414:B414"/>
    <mergeCell ref="C414:G414"/>
    <mergeCell ref="A418:B418"/>
    <mergeCell ref="A415:B415"/>
    <mergeCell ref="A416:B416"/>
    <mergeCell ref="A417:B417"/>
    <mergeCell ref="C415:G415"/>
    <mergeCell ref="C416:G416"/>
    <mergeCell ref="C417:G417"/>
    <mergeCell ref="A412:B412"/>
    <mergeCell ref="A413:B413"/>
    <mergeCell ref="C412:G412"/>
    <mergeCell ref="C413:G413"/>
    <mergeCell ref="A409:B409"/>
    <mergeCell ref="C410:G410"/>
    <mergeCell ref="C411:G411"/>
    <mergeCell ref="C407:G407"/>
    <mergeCell ref="C408:G408"/>
    <mergeCell ref="C409:G409"/>
    <mergeCell ref="A410:B410"/>
    <mergeCell ref="A411:B411"/>
    <mergeCell ref="C404:G404"/>
    <mergeCell ref="A407:B407"/>
    <mergeCell ref="A408:B408"/>
    <mergeCell ref="C405:G405"/>
    <mergeCell ref="A406:B406"/>
    <mergeCell ref="C406:G406"/>
    <mergeCell ref="A405:B405"/>
    <mergeCell ref="A401:B401"/>
    <mergeCell ref="C401:G401"/>
    <mergeCell ref="A404:B404"/>
    <mergeCell ref="A402:B402"/>
    <mergeCell ref="C402:G402"/>
    <mergeCell ref="A403:B403"/>
    <mergeCell ref="A400:B400"/>
    <mergeCell ref="C403:G403"/>
    <mergeCell ref="A374:B374"/>
    <mergeCell ref="A377:B377"/>
    <mergeCell ref="A376:B376"/>
    <mergeCell ref="C380:G380"/>
    <mergeCell ref="C381:G381"/>
    <mergeCell ref="C384:G384"/>
    <mergeCell ref="A381:B381"/>
    <mergeCell ref="A384:B384"/>
    <mergeCell ref="A382:B382"/>
    <mergeCell ref="C382:G382"/>
    <mergeCell ref="A378:B378"/>
    <mergeCell ref="A379:B379"/>
    <mergeCell ref="C377:G377"/>
    <mergeCell ref="A395:B395"/>
    <mergeCell ref="A393:B393"/>
    <mergeCell ref="A394:B394"/>
    <mergeCell ref="A391:B391"/>
    <mergeCell ref="A392:B392"/>
    <mergeCell ref="C392:G392"/>
    <mergeCell ref="C393:G393"/>
    <mergeCell ref="A390:B390"/>
    <mergeCell ref="C390:G390"/>
    <mergeCell ref="A170:B170"/>
    <mergeCell ref="A171:B171"/>
    <mergeCell ref="A172:B172"/>
    <mergeCell ref="A173:B173"/>
    <mergeCell ref="A174:B174"/>
    <mergeCell ref="A181:B181"/>
    <mergeCell ref="A175:B175"/>
    <mergeCell ref="A180:B180"/>
    <mergeCell ref="A176:B176"/>
    <mergeCell ref="A177:B177"/>
    <mergeCell ref="A178:B178"/>
    <mergeCell ref="A179:B179"/>
    <mergeCell ref="A185:B185"/>
    <mergeCell ref="A245:B245"/>
    <mergeCell ref="A244:B244"/>
    <mergeCell ref="A293:B293"/>
    <mergeCell ref="A287:B287"/>
    <mergeCell ref="A55:B55"/>
    <mergeCell ref="A49:B49"/>
    <mergeCell ref="A164:B164"/>
    <mergeCell ref="A243:B243"/>
    <mergeCell ref="A235:B235"/>
    <mergeCell ref="A236:B236"/>
    <mergeCell ref="A238:B238"/>
    <mergeCell ref="A237:B237"/>
    <mergeCell ref="A241:B241"/>
    <mergeCell ref="A74:B74"/>
    <mergeCell ref="A75:B75"/>
    <mergeCell ref="A76:B76"/>
    <mergeCell ref="A128:B128"/>
    <mergeCell ref="A129:B129"/>
    <mergeCell ref="A122:B122"/>
    <mergeCell ref="A111:B111"/>
    <mergeCell ref="A112:B112"/>
    <mergeCell ref="A116:B116"/>
    <mergeCell ref="A117:B117"/>
  </mergeCells>
  <pageMargins left="0.70866141732283472" right="0.31496062992125984" top="0.35433070866141736" bottom="0.39370078740157483" header="0" footer="0"/>
  <pageSetup paperSize="9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 план</vt:lpstr>
      <vt:lpstr>'фин план'!Заголовки_для_печати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Эдуард Линхоев</dc:creator>
  <cp:lastModifiedBy>Эдуард Линхоев</cp:lastModifiedBy>
  <cp:lastPrinted>2019-05-15T07:59:22Z</cp:lastPrinted>
  <dcterms:created xsi:type="dcterms:W3CDTF">2018-03-01T05:11:13Z</dcterms:created>
  <dcterms:modified xsi:type="dcterms:W3CDTF">2019-05-15T08:03:37Z</dcterms:modified>
</cp:coreProperties>
</file>